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uubp\Dropbox\WD - ENERGIE-BESPAREN\WD - EB - OPERATIE\Energiecoaches\2. Informatiemap\12. rekentools\"/>
    </mc:Choice>
  </mc:AlternateContent>
  <xr:revisionPtr revIDLastSave="0" documentId="13_ncr:1_{BE6C67F0-AB77-4F19-BCD6-3126C8B4A14E}" xr6:coauthVersionLast="47" xr6:coauthVersionMax="47" xr10:uidLastSave="{00000000-0000-0000-0000-000000000000}"/>
  <bookViews>
    <workbookView xWindow="-120" yWindow="-16320" windowWidth="29040" windowHeight="15720" firstSheet="1" activeTab="4" xr2:uid="{994ECFF6-D834-42F1-8841-EF8E1BA8464A}"/>
  </bookViews>
  <sheets>
    <sheet name="Table2" sheetId="3" state="hidden" r:id="rId1"/>
    <sheet name="Titel met versiebeheer" sheetId="9" r:id="rId2"/>
    <sheet name="Handleiding" sheetId="5" r:id="rId3"/>
    <sheet name="Rekentool" sheetId="6" r:id="rId4"/>
    <sheet name="Glas" sheetId="2" r:id="rId5"/>
    <sheet name="Data" sheetId="4" r:id="rId6"/>
  </sheets>
  <externalReferences>
    <externalReference r:id="rId7"/>
  </externalReferences>
  <definedNames>
    <definedName name="a" localSheetId="1">[1]Jaarverbruik!$R$6</definedName>
    <definedName name="a">Data!$L$22</definedName>
    <definedName name="b" localSheetId="1">[1]Jaarverbruik!$R$7</definedName>
    <definedName name="b">Data!$L$23</definedName>
    <definedName name="ExternalData_1" localSheetId="0" hidden="1">Table2!$A$1:$C$22</definedName>
    <definedName name="GrdDg" localSheetId="3">Data!$L$27</definedName>
    <definedName name="Opp" localSheetId="1">Rekentool!$C$27</definedName>
    <definedName name="Opp">Rekentool!$C$27</definedName>
    <definedName name="Pgas" localSheetId="1">Rekentool!$D$34</definedName>
    <definedName name="Pgas">Rekentool!$D$34</definedName>
    <definedName name="R_binnen" localSheetId="1">Data!$P$24</definedName>
    <definedName name="R_binnen">Data!$P$24</definedName>
    <definedName name="R_buiten" localSheetId="1">Data!$P$22</definedName>
    <definedName name="R_buiten">Data!$P$22</definedName>
    <definedName name="Rc_best" localSheetId="3">Rekentool!$C$25</definedName>
    <definedName name="RC_voorg" localSheetId="3">Rekentool!$G$25</definedName>
    <definedName name="T0" localSheetId="1">Data!$L$28</definedName>
    <definedName name="T0">Data!$L$28</definedName>
    <definedName name="Tbcor" localSheetId="1">Data!$L$26</definedName>
    <definedName name="Tbcor">Data!$L$26</definedName>
    <definedName name="Tbin" localSheetId="1">Rekentool!$D$28</definedName>
    <definedName name="Tbin">Rekentool!$D$28</definedName>
    <definedName name="Tc" localSheetId="1">Data!$L$25</definedName>
    <definedName name="Tc">Data!$L$25</definedName>
    <definedName name="Y0" localSheetId="1">[1]Jaarverbruik!$R$5</definedName>
    <definedName name="Y0">Data!$L$21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C8" i="2"/>
  <c r="C12" i="2"/>
  <c r="J7" i="2"/>
  <c r="I7" i="2"/>
  <c r="C7" i="2"/>
  <c r="I9" i="2" l="1"/>
  <c r="I10" i="2" s="1"/>
  <c r="C9" i="2"/>
  <c r="C10" i="2" s="1"/>
  <c r="L26" i="4"/>
  <c r="L27" i="4" s="1"/>
  <c r="M4" i="6"/>
  <c r="K4" i="6"/>
  <c r="L24" i="4"/>
  <c r="G23" i="6"/>
  <c r="I23" i="6" s="1"/>
  <c r="G20" i="6"/>
  <c r="I20" i="6" s="1"/>
  <c r="C20" i="6"/>
  <c r="E20" i="6" s="1"/>
  <c r="C23" i="6"/>
  <c r="E23" i="6" s="1"/>
  <c r="G27" i="6"/>
  <c r="G24" i="6"/>
  <c r="I24" i="6" s="1"/>
  <c r="G5" i="6"/>
  <c r="I5" i="6" s="1"/>
  <c r="P29" i="4"/>
  <c r="P31" i="4" s="1"/>
  <c r="P33" i="4"/>
  <c r="C14" i="2" s="1"/>
  <c r="C24" i="6"/>
  <c r="E24" i="6" s="1"/>
  <c r="C5" i="6"/>
  <c r="E5" i="6" s="1"/>
  <c r="G17" i="6"/>
  <c r="I17" i="6" s="1"/>
  <c r="C17" i="6"/>
  <c r="E17" i="6" s="1"/>
  <c r="G14" i="6"/>
  <c r="I14" i="6" s="1"/>
  <c r="C14" i="6"/>
  <c r="E14" i="6" s="1"/>
  <c r="G11" i="6"/>
  <c r="I11" i="6" s="1"/>
  <c r="C11" i="6"/>
  <c r="E11" i="6" s="1"/>
  <c r="G8" i="6"/>
  <c r="I8" i="6" s="1"/>
  <c r="C8" i="6"/>
  <c r="E8" i="6" s="1"/>
  <c r="L6" i="6"/>
  <c r="L7" i="6" s="1"/>
  <c r="L8" i="6" s="1"/>
  <c r="J6" i="6"/>
  <c r="J7" i="6" s="1"/>
  <c r="J8" i="6" s="1"/>
  <c r="L5" i="6"/>
  <c r="J5" i="6"/>
  <c r="P13" i="4"/>
  <c r="P14" i="4" s="1"/>
  <c r="D30" i="6" l="1"/>
  <c r="C13" i="2"/>
  <c r="K7" i="2" s="1"/>
  <c r="J9" i="6"/>
  <c r="J10" i="6" s="1"/>
  <c r="G25" i="6"/>
  <c r="L9" i="6"/>
  <c r="L10" i="6" s="1"/>
  <c r="C25" i="6"/>
  <c r="E7" i="2" l="1"/>
  <c r="F7" i="2" s="1"/>
  <c r="G7" i="2" s="1"/>
  <c r="L7" i="2"/>
  <c r="M5" i="6"/>
  <c r="M6" i="6" s="1"/>
  <c r="M7" i="6" s="1"/>
  <c r="M8" i="6" s="1"/>
  <c r="M9" i="6" s="1"/>
  <c r="M10" i="6" s="1"/>
  <c r="M11" i="6" s="1"/>
  <c r="M12" i="6" s="1"/>
  <c r="L12" i="6"/>
  <c r="L11" i="6"/>
  <c r="G26" i="6"/>
  <c r="G28" i="6" s="1"/>
  <c r="C26" i="6"/>
  <c r="J11" i="6"/>
  <c r="J12" i="6"/>
  <c r="K5" i="6"/>
  <c r="K6" i="6" s="1"/>
  <c r="K7" i="6" s="1"/>
  <c r="K8" i="6" s="1"/>
  <c r="M7" i="2" l="1"/>
  <c r="D18" i="2" s="1"/>
  <c r="D17" i="2"/>
  <c r="K9" i="6"/>
  <c r="K10" i="6" s="1"/>
  <c r="K11" i="6" s="1"/>
  <c r="K12" i="6" s="1"/>
  <c r="G29" i="6"/>
  <c r="G30" i="6"/>
  <c r="G31" i="6" s="1"/>
  <c r="C28" i="6"/>
  <c r="C29" i="6" l="1"/>
  <c r="C30" i="6"/>
  <c r="C31" i="6" s="1"/>
  <c r="C33" i="6" l="1"/>
  <c r="C34" i="6"/>
</calcChain>
</file>

<file path=xl/sharedStrings.xml><?xml version="1.0" encoding="utf-8"?>
<sst xmlns="http://schemas.openxmlformats.org/spreadsheetml/2006/main" count="388" uniqueCount="286">
  <si>
    <t>basalt</t>
  </si>
  <si>
    <t>dakpan (beton)</t>
  </si>
  <si>
    <t>dakpan (keramisch)</t>
  </si>
  <si>
    <t>glaswol</t>
  </si>
  <si>
    <t>hardboard</t>
  </si>
  <si>
    <t>houtwoldeken</t>
  </si>
  <si>
    <t>isolatiesteen A3</t>
  </si>
  <si>
    <t>kalkmortel</t>
  </si>
  <si>
    <t>kalksteen (zacht)</t>
  </si>
  <si>
    <t>kalkzandsteen</t>
  </si>
  <si>
    <t>kalkzandsteen (hol)</t>
  </si>
  <si>
    <t>kalkzandsteen thermo-kimblok</t>
  </si>
  <si>
    <t>kapok</t>
  </si>
  <si>
    <t>katoen</t>
  </si>
  <si>
    <t>kokosvezel als isolatie</t>
  </si>
  <si>
    <t>leem</t>
  </si>
  <si>
    <t>leer</t>
  </si>
  <si>
    <t>lucht</t>
  </si>
  <si>
    <t>mergel</t>
  </si>
  <si>
    <t>multiplex</t>
  </si>
  <si>
    <t>osb plaat</t>
  </si>
  <si>
    <t>papier</t>
  </si>
  <si>
    <t>pe (polyethyleen)</t>
  </si>
  <si>
    <t>porisosteen (A2 steen)</t>
  </si>
  <si>
    <t>25-50</t>
  </si>
  <si>
    <t>pvc-u (harde PVC)</t>
  </si>
  <si>
    <t>schuimrubber</t>
  </si>
  <si>
    <t>siliconenkit</t>
  </si>
  <si>
    <t>spaanplaat (600)</t>
  </si>
  <si>
    <t>speksteen</t>
  </si>
  <si>
    <t>steenwol </t>
  </si>
  <si>
    <t>stuclaag (gips)</t>
  </si>
  <si>
    <t>stuclaag (kalk)</t>
  </si>
  <si>
    <t>tegels (hardgebakken)</t>
  </si>
  <si>
    <t>turf</t>
  </si>
  <si>
    <t>vezelcement</t>
  </si>
  <si>
    <t>vlas, vlaswol (als isolatie)</t>
  </si>
  <si>
    <t>vlasplaat (vlasvezelplaat)</t>
  </si>
  <si>
    <t>vloerverwarmingsboard</t>
  </si>
  <si>
    <t>wol (geweven)</t>
  </si>
  <si>
    <t>zachtboard</t>
  </si>
  <si>
    <t>asbestcement droog</t>
  </si>
  <si>
    <t>asbestcement nat</t>
  </si>
  <si>
    <t>baksteen droog</t>
  </si>
  <si>
    <t>baksteen nat</t>
  </si>
  <si>
    <t>beton niet gewapend droog</t>
  </si>
  <si>
    <t>beton niet gewapend nat</t>
  </si>
  <si>
    <t>beton gewapend</t>
  </si>
  <si>
    <t>graniet droog</t>
  </si>
  <si>
    <t>graniet nat</t>
  </si>
  <si>
    <t>hout hard</t>
  </si>
  <si>
    <t>hout zacht</t>
  </si>
  <si>
    <t>gipsplaat</t>
  </si>
  <si>
    <t>grindbeton ongewapend droog</t>
  </si>
  <si>
    <t>grindbeton ongewapend nat</t>
  </si>
  <si>
    <t>grindbeton gewapend droog</t>
  </si>
  <si>
    <t>grindbeton gewapend nat</t>
  </si>
  <si>
    <t>Column1</t>
  </si>
  <si>
    <t>Column2</t>
  </si>
  <si>
    <t>Column3</t>
  </si>
  <si>
    <t>λ</t>
  </si>
  <si>
    <t>Density</t>
  </si>
  <si>
    <t>constructiemateriaal</t>
  </si>
  <si>
    <t xml:space="preserve">cellulose korrels </t>
  </si>
  <si>
    <t>cement droog</t>
  </si>
  <si>
    <t>cement nat</t>
  </si>
  <si>
    <t>grond</t>
  </si>
  <si>
    <t>hennep</t>
  </si>
  <si>
    <t>baksteen hol (vloer)</t>
  </si>
  <si>
    <t>houtwol</t>
  </si>
  <si>
    <t>houtwolcementplaat licht</t>
  </si>
  <si>
    <t>houtwolcementplaat zwaar</t>
  </si>
  <si>
    <t>grond (humus)</t>
  </si>
  <si>
    <t>icynene open cel</t>
  </si>
  <si>
    <t>icynene gesloten cel</t>
  </si>
  <si>
    <t xml:space="preserve">kalkzandsteen hoogbouwelement </t>
  </si>
  <si>
    <t>kalksteen (hard) droog</t>
  </si>
  <si>
    <t>kalksteen (hard) nat</t>
  </si>
  <si>
    <t>katoenwol</t>
  </si>
  <si>
    <t>klei droog</t>
  </si>
  <si>
    <t>klei nat</t>
  </si>
  <si>
    <t>kurk</t>
  </si>
  <si>
    <t>lichtbeton (1300) droog</t>
  </si>
  <si>
    <t>lichtbeton (1300) nat</t>
  </si>
  <si>
    <t>lichtbeton (1900) droog</t>
  </si>
  <si>
    <t>lichtbeton (1900) nat</t>
  </si>
  <si>
    <t>isolatiemateriaal</t>
  </si>
  <si>
    <t>cellulose (papiervlokken)</t>
  </si>
  <si>
    <t>marmer droog</t>
  </si>
  <si>
    <t>marmer nat</t>
  </si>
  <si>
    <t>geen</t>
  </si>
  <si>
    <t>metselwerk (klinker, voeg; droog)</t>
  </si>
  <si>
    <t>metselwerk (klinker, voeg; nat)</t>
  </si>
  <si>
    <t>2e laag isolatiemateriaal</t>
  </si>
  <si>
    <t>pleisterlaag (cement) droog</t>
  </si>
  <si>
    <t>pleisterlaag (cement) nat</t>
  </si>
  <si>
    <t>pleisterlaag (gips) nat</t>
  </si>
  <si>
    <t>pleisterlaag (gips) droog</t>
  </si>
  <si>
    <t>pleisterlaag (kalk; zand) droog</t>
  </si>
  <si>
    <t>pleisterlaag (kalk; zand) nat</t>
  </si>
  <si>
    <t>polystyreenschuim (eps)</t>
  </si>
  <si>
    <t>polystyreenkorrels</t>
  </si>
  <si>
    <t>polyurethaanschuim</t>
  </si>
  <si>
    <t>pur-schuim (spuitbus)</t>
  </si>
  <si>
    <t>recticel isolatieplaat</t>
  </si>
  <si>
    <t>resol hardschuim</t>
  </si>
  <si>
    <t>riet (dakbedekking)</t>
  </si>
  <si>
    <t>rockfit premium</t>
  </si>
  <si>
    <t>rubber</t>
  </si>
  <si>
    <t>pur-schuim</t>
  </si>
  <si>
    <t>stro</t>
  </si>
  <si>
    <t>stroplaat</t>
  </si>
  <si>
    <t>textiel als isolatie</t>
  </si>
  <si>
    <t>tufsteen droog</t>
  </si>
  <si>
    <t>tufsteen nat</t>
  </si>
  <si>
    <t>veen droog</t>
  </si>
  <si>
    <t>vermiculite (plaat)</t>
  </si>
  <si>
    <t>wol (schaap)</t>
  </si>
  <si>
    <t>zand droog</t>
  </si>
  <si>
    <t>zand nat</t>
  </si>
  <si>
    <t>zandsteen droog</t>
  </si>
  <si>
    <t>zandsteen nat</t>
  </si>
  <si>
    <t xml:space="preserve"> (cm)</t>
  </si>
  <si>
    <t>(cm)</t>
  </si>
  <si>
    <t>Therm. Weerst.</t>
  </si>
  <si>
    <t>Warmteflow</t>
  </si>
  <si>
    <t>MJ/m3</t>
  </si>
  <si>
    <t>per jaar (MJ)</t>
  </si>
  <si>
    <t>m3 aardgas</t>
  </si>
  <si>
    <t>per jaar</t>
  </si>
  <si>
    <t>soort glas</t>
  </si>
  <si>
    <t>Soort glas</t>
  </si>
  <si>
    <t>enkel glas</t>
  </si>
  <si>
    <t>HR++</t>
  </si>
  <si>
    <t>HR</t>
  </si>
  <si>
    <t>HR+</t>
  </si>
  <si>
    <t>stand. dubbel</t>
  </si>
  <si>
    <t>(€/m3)</t>
  </si>
  <si>
    <t xml:space="preserve">3e laag luchtspouw </t>
  </si>
  <si>
    <r>
      <t xml:space="preserve">Q </t>
    </r>
    <r>
      <rPr>
        <sz val="11"/>
        <color theme="1"/>
        <rFont val="Calibri"/>
        <family val="2"/>
        <scheme val="minor"/>
      </rPr>
      <t>= ε * 56,7 * 10</t>
    </r>
    <r>
      <rPr>
        <vertAlign val="superscript"/>
        <sz val="11"/>
        <color theme="1"/>
        <rFont val="Calibri"/>
        <family val="2"/>
        <scheme val="minor"/>
      </rPr>
      <t>-9</t>
    </r>
    <r>
      <rPr>
        <sz val="11"/>
        <color theme="1"/>
        <rFont val="Calibri"/>
        <family val="2"/>
        <scheme val="minor"/>
      </rPr>
      <t xml:space="preserve"> * </t>
    </r>
    <r>
      <rPr>
        <i/>
        <sz val="11"/>
        <color theme="1"/>
        <rFont val="Calibri"/>
        <family val="2"/>
        <scheme val="minor"/>
      </rPr>
      <t>T</t>
    </r>
    <r>
      <rPr>
        <i/>
        <vertAlign val="superscript"/>
        <sz val="11"/>
        <color theme="1"/>
        <rFont val="Calibri"/>
        <family val="2"/>
        <scheme val="minor"/>
      </rPr>
      <t>4</t>
    </r>
    <r>
      <rPr>
        <sz val="11"/>
        <color theme="1"/>
        <rFont val="Calibri"/>
        <family val="2"/>
        <scheme val="minor"/>
      </rPr>
      <t>     (= ε * σ * T</t>
    </r>
    <r>
      <rPr>
        <vertAlign val="superscript"/>
        <sz val="11"/>
        <color theme="1"/>
        <rFont val="Calibri"/>
        <family val="2"/>
        <scheme val="minor"/>
      </rPr>
      <t>4</t>
    </r>
    <r>
      <rPr>
        <sz val="11"/>
        <color theme="1"/>
        <rFont val="Calibri"/>
        <family val="2"/>
        <scheme val="minor"/>
      </rPr>
      <t>  = ε * Qz)</t>
    </r>
  </si>
  <si>
    <t>waarbij:</t>
  </si>
  <si>
    <t>Q = de warmtestroomdichtheid van de afgegeven straling (W/m2)</t>
  </si>
  <si>
    <t>ε = de emissiecoëfficiënt van het materiaaloppervlak</t>
  </si>
  <si>
    <t>T = de absolute temperatuur (K)</t>
  </si>
  <si>
    <t>Qz = de warmtestraling van het "zwarte lichaam"</t>
  </si>
  <si>
    <r>
      <t>σ = stralingsconstante of Stefan-Boltzmann-constante (</t>
    </r>
    <r>
      <rPr>
        <sz val="12"/>
        <color theme="1"/>
        <rFont val="Times New Roman"/>
        <family val="1"/>
      </rPr>
      <t>W/m2K4</t>
    </r>
    <r>
      <rPr>
        <sz val="7.5"/>
        <color theme="1"/>
        <rFont val="Times New Roman"/>
        <family val="1"/>
      </rPr>
      <t>)</t>
    </r>
  </si>
  <si>
    <t>(W/m2K)</t>
  </si>
  <si>
    <t>λ =</t>
  </si>
  <si>
    <t>R=</t>
  </si>
  <si>
    <t>σ</t>
  </si>
  <si>
    <t>T (K)</t>
  </si>
  <si>
    <t>ε</t>
  </si>
  <si>
    <r>
      <t xml:space="preserve">dQ/dT= 4 </t>
    </r>
    <r>
      <rPr>
        <b/>
        <sz val="11"/>
        <color theme="1"/>
        <rFont val="Calibri"/>
        <family val="2"/>
      </rPr>
      <t>ε.σ.T</t>
    </r>
    <r>
      <rPr>
        <b/>
        <vertAlign val="superscript"/>
        <sz val="11"/>
        <color theme="1"/>
        <rFont val="Calibri"/>
        <family val="2"/>
      </rPr>
      <t>3</t>
    </r>
  </si>
  <si>
    <t>4e laag constructiemateriaal</t>
  </si>
  <si>
    <t>Tonzon vloerisolatie</t>
  </si>
  <si>
    <t>Dikte ber.</t>
  </si>
  <si>
    <t>Wand- dak- vloeropbouw</t>
  </si>
  <si>
    <t>vermiculiet korrels</t>
  </si>
  <si>
    <t>Laagdikte</t>
  </si>
  <si>
    <t>Column12</t>
  </si>
  <si>
    <t>Overgang buitenlucht - wand</t>
  </si>
  <si>
    <t>-</t>
  </si>
  <si>
    <t>Overgang binnenlucht - wand</t>
  </si>
  <si>
    <t>m3 aardgas per jaar</t>
  </si>
  <si>
    <r>
      <t>Kosten (</t>
    </r>
    <r>
      <rPr>
        <b/>
        <sz val="11"/>
        <color theme="1"/>
        <rFont val="Calibri"/>
        <family val="2"/>
      </rPr>
      <t>€) per jaar</t>
    </r>
  </si>
  <si>
    <t>Bestaand</t>
  </si>
  <si>
    <t>Voorgesteld</t>
  </si>
  <si>
    <t>Tc voorg.</t>
  </si>
  <si>
    <t>Tc</t>
  </si>
  <si>
    <t>Glas berekening</t>
  </si>
  <si>
    <t>Gasprijs (€/m3)</t>
  </si>
  <si>
    <t>Calorische warmte aardgas (bovenwarmte)</t>
  </si>
  <si>
    <t>Rendement HR ketel</t>
  </si>
  <si>
    <t>Netto cal. warmte aardgas</t>
  </si>
  <si>
    <t>Buitenlaag constructie mat.</t>
  </si>
  <si>
    <t>R lucht buiten (K*m2/W)</t>
  </si>
  <si>
    <t>R lucht binnen (K*m2/W)</t>
  </si>
  <si>
    <t>Besparing</t>
  </si>
  <si>
    <t>Kosten (€) per jaar</t>
  </si>
  <si>
    <t>Aardgas (m3) per jaar</t>
  </si>
  <si>
    <t>---------- Besparing ----------</t>
  </si>
  <si>
    <t>Gas (m3) per jaar</t>
  </si>
  <si>
    <t>standaard ≥ 1 cm</t>
  </si>
  <si>
    <t>reflect. folie ≥ 1 cm</t>
  </si>
  <si>
    <t>dun(&lt;&lt; 1cm)</t>
  </si>
  <si>
    <t>λ of U</t>
  </si>
  <si>
    <r>
      <t xml:space="preserve">horizontaal </t>
    </r>
    <r>
      <rPr>
        <sz val="11"/>
        <color theme="1"/>
        <rFont val="Calibri"/>
        <family val="2"/>
      </rPr>
      <t>≥ 1 cm</t>
    </r>
  </si>
  <si>
    <t>Rendement gasketel</t>
  </si>
  <si>
    <t>U</t>
  </si>
  <si>
    <t>Warmteoverdracht door straling</t>
  </si>
  <si>
    <t>Eigen keuze 1</t>
  </si>
  <si>
    <t>Eigen keuze 2</t>
  </si>
  <si>
    <t>Eigen keuze 3</t>
  </si>
  <si>
    <t>Eigen keuze 4</t>
  </si>
  <si>
    <t>Warmteflow per jaar (MJ/m2)</t>
  </si>
  <si>
    <t>Flow totaal per jaar (MJ)</t>
  </si>
  <si>
    <t>Flow totaal per jaar (kWh)</t>
  </si>
  <si>
    <t xml:space="preserve">     Oppervlakte (m2)</t>
  </si>
  <si>
    <t>Rc totaal (K.m2/W)</t>
  </si>
  <si>
    <t>Binnentemperatuur (C)</t>
  </si>
  <si>
    <t>5e laag isolatiemateriaal</t>
  </si>
  <si>
    <t>6e laag constructiemateriaal</t>
  </si>
  <si>
    <t>5e laag isolatie materiaal</t>
  </si>
  <si>
    <t>6e laag constructie mat.</t>
  </si>
  <si>
    <t>Warmteflow per jr (MJ/m2)</t>
  </si>
  <si>
    <t>Y0</t>
  </si>
  <si>
    <t>a</t>
  </si>
  <si>
    <t>Berekening graaddagen</t>
  </si>
  <si>
    <t>Graaddagen</t>
  </si>
  <si>
    <t>Oppervlakte</t>
  </si>
  <si>
    <t xml:space="preserve"> (m2)</t>
  </si>
  <si>
    <t>Graaddagen/jaar</t>
  </si>
  <si>
    <t>(m2)</t>
  </si>
  <si>
    <t>b</t>
  </si>
  <si>
    <t>T0(oC) ref voor plot</t>
  </si>
  <si>
    <t>Tbcor</t>
  </si>
  <si>
    <t>Corr andere bron (Tc)</t>
  </si>
  <si>
    <t>Tbin(oC)</t>
  </si>
  <si>
    <t>Binnentemp. Tbin (C)</t>
  </si>
  <si>
    <t>Aardgasprijs incl. energ.label., ODE en BTW</t>
  </si>
  <si>
    <t>(W/(K.m2))</t>
  </si>
  <si>
    <t>(De binnentemperatuur kan worden gewijzigd</t>
  </si>
  <si>
    <t xml:space="preserve"> gewijzigd in de Rekentool sheet.)</t>
  </si>
  <si>
    <t>W/(m2/K))</t>
  </si>
  <si>
    <t>Specifieke warmte geleiding U</t>
  </si>
  <si>
    <t>PIR</t>
  </si>
  <si>
    <t>glas</t>
  </si>
  <si>
    <t>Aminotherm</t>
  </si>
  <si>
    <t>Ureumformaldehyde (UF)</t>
  </si>
  <si>
    <t>MDF</t>
  </si>
  <si>
    <t>rolgordijn</t>
  </si>
  <si>
    <r>
      <t>pliss</t>
    </r>
    <r>
      <rPr>
        <sz val="11"/>
        <color theme="1"/>
        <rFont val="Calibri"/>
        <family val="2"/>
      </rPr>
      <t>égordijn</t>
    </r>
  </si>
  <si>
    <t>plisségord. al coating</t>
  </si>
  <si>
    <t>U totaal</t>
  </si>
  <si>
    <t>calcium silicaat</t>
  </si>
  <si>
    <t>cellenbeton</t>
  </si>
  <si>
    <t>perliet</t>
  </si>
  <si>
    <t>Definitief</t>
  </si>
  <si>
    <t>Datum</t>
  </si>
  <si>
    <t>Wijzigingen</t>
  </si>
  <si>
    <t>Type</t>
  </si>
  <si>
    <t>Auteur</t>
  </si>
  <si>
    <t>Versie</t>
  </si>
  <si>
    <t>Fred Hartjes</t>
  </si>
  <si>
    <t>5.0</t>
  </si>
  <si>
    <t>4.0</t>
  </si>
  <si>
    <t>Invoervelden voor eigen materialen toegevoegd. Sheet voor diverse praktische energieberekeningen toegevoegd</t>
  </si>
  <si>
    <t>5.1</t>
  </si>
  <si>
    <t>5.2</t>
  </si>
  <si>
    <t>Optie voor het aanbrengen van gordijnen bij de glasisolatie verbeterd</t>
  </si>
  <si>
    <t>Sheet voor diverse berekeningen verwijderd en als afzonderlijk Excel document gesaved. Enkele nieuwe isolatiematerialen toegevoegd. Optie voor het aanbrengen van gordijnen bij de glasisolatie toegevoegd. Handleiding herzien.</t>
  </si>
  <si>
    <t>Kleine cosmetische verbeteringen. Titelblad toegevoegd.</t>
  </si>
  <si>
    <t>(gemiddeld)</t>
  </si>
  <si>
    <t>Geen</t>
  </si>
  <si>
    <t>glas in lood</t>
  </si>
  <si>
    <t>low E folie</t>
  </si>
  <si>
    <t>kozijnfolie</t>
  </si>
  <si>
    <t>voorzetraam</t>
  </si>
  <si>
    <t>HR++ beste kwaliteit</t>
  </si>
  <si>
    <t>triple glas spouw&lt;15 mm</t>
  </si>
  <si>
    <t>triple glas spouw&gt;15 mm</t>
  </si>
  <si>
    <t>dubbel met glas-i-l</t>
  </si>
  <si>
    <t>dubbel glas-i-l low E</t>
  </si>
  <si>
    <t>Vacuum glas 8.6 mm</t>
  </si>
  <si>
    <t>5.3</t>
  </si>
  <si>
    <t>© Fred Hartjes. Ontwikkeling ism Jos van der Schoot en Huub Pennock; feedback is welkom op f.hartjes@kpnmail.nl</t>
  </si>
  <si>
    <t>Veel glassoorten uit 101 soorten glas rapport van Nienhuys toegevoegd. Een ruit kan nu uit 3 componenten worden opgebouwd.</t>
  </si>
  <si>
    <t>5.4</t>
  </si>
  <si>
    <r>
      <t>Kosten gasverbruik (</t>
    </r>
    <r>
      <rPr>
        <b/>
        <sz val="11"/>
        <color theme="1"/>
        <rFont val="Calibri"/>
        <family val="2"/>
      </rPr>
      <t>€)</t>
    </r>
  </si>
  <si>
    <t>Gas kosten  (€) per jaar</t>
  </si>
  <si>
    <t>Formatteringsfout bij isolatiemateriaal Ati Pro hersteld. Kleine textuele verandering in de glassheet.</t>
  </si>
  <si>
    <t>houtvezelplaat 4 cm</t>
  </si>
  <si>
    <t>glas I L in dubbel glas</t>
  </si>
  <si>
    <t>5.5</t>
  </si>
  <si>
    <t>Buitentemperatuur tbv de temperatuurplot in de constructie instelbaar gemaakt in de Data sheet (was 9,5 C). Minimum van temperatuurplot op 2 C gezet (autoscale werkt niet voor het minimum). Overgang naar binnentemperatuur uitleesbaar gemaakt voor beide plots tbv metingen met warmtecamera.</t>
  </si>
  <si>
    <t>isowool</t>
  </si>
  <si>
    <t>5.6</t>
  </si>
  <si>
    <t>Wijziging van versie 5.5 weer verwijderd. Deze berekening is overgebracht naar Energie berekeningen 2.0.xlxs</t>
  </si>
  <si>
    <t>ISOLATIEREKENTOOL</t>
  </si>
  <si>
    <t>multi folie</t>
  </si>
  <si>
    <t>5.7</t>
  </si>
  <si>
    <t xml:space="preserve">Wand- dak- vloeropbouw </t>
  </si>
  <si>
    <t>Rc   (K.m2/W)</t>
  </si>
  <si>
    <r>
      <t>R</t>
    </r>
    <r>
      <rPr>
        <b/>
        <vertAlign val="subscript"/>
        <sz val="11"/>
        <color theme="1"/>
        <rFont val="Calibri"/>
        <family val="2"/>
        <scheme val="minor"/>
      </rPr>
      <t>T</t>
    </r>
    <r>
      <rPr>
        <b/>
        <sz val="11"/>
        <color theme="1"/>
        <rFont val="Calibri"/>
        <family val="2"/>
        <scheme val="minor"/>
      </rPr>
      <t xml:space="preserve"> totaal (K.m2/W)</t>
    </r>
  </si>
  <si>
    <t>Multifolies schaalbaar gemaakt. Dichtheidstabel van materialen (ongebruikt voor de berekeningen) verwijderd in de Rekentool sheet. Overgangsweerstand naar buitenlucht gewijzigd van 0.04 naar 0.10 (beter in overeenstemming met de werkelijkheid). Rendement gas-ketel begrensd op 100% van de bovenwaarde.</t>
  </si>
  <si>
    <t>VERSIE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</si>
</sst>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5" x14ac:knownFonts="1">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11"/>
      <color theme="1"/>
      <name val="Calibri"/>
      <family val="2"/>
    </font>
    <font>
      <b/>
      <sz val="11"/>
      <color theme="1"/>
      <name val="Calibri"/>
      <family val="2"/>
    </font>
    <font>
      <b/>
      <sz val="16"/>
      <color theme="1"/>
      <name val="Calibri"/>
      <family val="2"/>
      <scheme val="minor"/>
    </font>
    <font>
      <sz val="8"/>
      <name val="Calibri"/>
      <family val="2"/>
      <scheme val="minor"/>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2"/>
      <color theme="1"/>
      <name val="Times New Roman"/>
      <family val="1"/>
    </font>
    <font>
      <sz val="7.5"/>
      <color theme="1"/>
      <name val="Times New Roman"/>
      <family val="1"/>
    </font>
    <font>
      <b/>
      <vertAlign val="superscript"/>
      <sz val="11"/>
      <color theme="1"/>
      <name val="Calibri"/>
      <family val="2"/>
    </font>
    <font>
      <b/>
      <sz val="18"/>
      <color theme="4"/>
      <name val="Calibri"/>
      <family val="2"/>
      <scheme val="minor"/>
    </font>
    <font>
      <b/>
      <sz val="20"/>
      <color theme="1"/>
      <name val="Calibri"/>
      <family val="2"/>
      <scheme val="minor"/>
    </font>
    <font>
      <b/>
      <sz val="22"/>
      <color theme="1"/>
      <name val="Calibri"/>
      <family val="2"/>
      <scheme val="minor"/>
    </font>
    <font>
      <sz val="22"/>
      <color theme="1"/>
      <name val="Calibri"/>
      <family val="2"/>
      <scheme val="minor"/>
    </font>
    <font>
      <b/>
      <sz val="14"/>
      <color theme="1"/>
      <name val="Calibri"/>
      <family val="2"/>
      <scheme val="minor"/>
    </font>
    <font>
      <b/>
      <sz val="11"/>
      <color theme="0"/>
      <name val="Calibri"/>
      <family val="2"/>
      <scheme val="minor"/>
    </font>
    <font>
      <b/>
      <sz val="11"/>
      <color theme="0"/>
      <name val="Calibri"/>
      <family val="2"/>
    </font>
    <font>
      <b/>
      <sz val="16"/>
      <color theme="1"/>
      <name val="Calibri"/>
      <family val="2"/>
    </font>
    <font>
      <sz val="16"/>
      <color theme="1"/>
      <name val="Calibri"/>
      <family val="2"/>
      <scheme val="minor"/>
    </font>
    <font>
      <sz val="36"/>
      <color theme="1"/>
      <name val="Calibri"/>
      <family val="2"/>
      <scheme val="minor"/>
    </font>
    <font>
      <b/>
      <vertAlign val="subscript"/>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000"/>
        <bgColor indexed="64"/>
      </patternFill>
    </fill>
    <fill>
      <patternFill patternType="solid">
        <fgColor theme="8" tint="0.79998168889431442"/>
        <bgColor indexed="64"/>
      </patternFill>
    </fill>
    <fill>
      <patternFill patternType="solid">
        <fgColor theme="7"/>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top/>
      <bottom style="thin">
        <color rgb="FF00000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medium">
        <color indexed="64"/>
      </bottom>
      <diagonal/>
    </border>
    <border>
      <left style="double">
        <color indexed="64"/>
      </left>
      <right/>
      <top/>
      <bottom style="double">
        <color indexed="64"/>
      </bottom>
      <diagonal/>
    </border>
    <border>
      <left style="double">
        <color indexed="64"/>
      </left>
      <right style="thick">
        <color indexed="64"/>
      </right>
      <top/>
      <bottom/>
      <diagonal/>
    </border>
    <border>
      <left style="thick">
        <color indexed="64"/>
      </left>
      <right style="thick">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double">
        <color indexed="64"/>
      </top>
      <bottom style="medium">
        <color indexed="64"/>
      </bottom>
      <diagonal/>
    </border>
    <border>
      <left style="double">
        <color indexed="64"/>
      </left>
      <right style="medium">
        <color indexed="64"/>
      </right>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s>
  <cellStyleXfs count="2">
    <xf numFmtId="0" fontId="0" fillId="0" borderId="0"/>
    <xf numFmtId="0" fontId="3" fillId="0" borderId="0" applyNumberFormat="0" applyFill="0" applyBorder="0" applyAlignment="0" applyProtection="0"/>
  </cellStyleXfs>
  <cellXfs count="309">
    <xf numFmtId="0" fontId="0" fillId="0" borderId="0" xfId="0"/>
    <xf numFmtId="0" fontId="2" fillId="0" borderId="1" xfId="0" applyFont="1" applyBorder="1" applyAlignment="1">
      <alignment vertical="top" wrapText="1"/>
    </xf>
    <xf numFmtId="1" fontId="2" fillId="0" borderId="1" xfId="0" applyNumberFormat="1" applyFont="1" applyBorder="1" applyAlignment="1">
      <alignment vertical="top" wrapText="1"/>
    </xf>
    <xf numFmtId="1" fontId="0" fillId="0" borderId="0" xfId="0" applyNumberFormat="1"/>
    <xf numFmtId="164" fontId="0" fillId="0" borderId="0" xfId="0" applyNumberFormat="1"/>
    <xf numFmtId="0" fontId="0" fillId="0" borderId="0" xfId="0" applyAlignment="1">
      <alignment horizontal="center"/>
    </xf>
    <xf numFmtId="0" fontId="1" fillId="0" borderId="0" xfId="0" applyFont="1" applyAlignment="1">
      <alignment horizontal="center"/>
    </xf>
    <xf numFmtId="165" fontId="0" fillId="0" borderId="0" xfId="0" applyNumberFormat="1"/>
    <xf numFmtId="0" fontId="1" fillId="0" borderId="8" xfId="0" applyFont="1" applyBorder="1"/>
    <xf numFmtId="0" fontId="0" fillId="0" borderId="10" xfId="0" applyBorder="1"/>
    <xf numFmtId="0" fontId="0" fillId="0" borderId="11" xfId="0" applyBorder="1"/>
    <xf numFmtId="0" fontId="1" fillId="0" borderId="11" xfId="0" applyFont="1" applyBorder="1"/>
    <xf numFmtId="0" fontId="1" fillId="0" borderId="12" xfId="0" applyFont="1" applyBorder="1"/>
    <xf numFmtId="0" fontId="0" fillId="0" borderId="14" xfId="0" applyBorder="1"/>
    <xf numFmtId="0" fontId="1" fillId="0" borderId="7" xfId="0" applyFont="1" applyBorder="1" applyAlignment="1">
      <alignment horizontal="center"/>
    </xf>
    <xf numFmtId="9" fontId="1" fillId="0" borderId="11" xfId="0" applyNumberFormat="1" applyFont="1" applyBorder="1"/>
    <xf numFmtId="0" fontId="1" fillId="0" borderId="0" xfId="0" applyFont="1"/>
    <xf numFmtId="165" fontId="1" fillId="0" borderId="0" xfId="0" applyNumberFormat="1" applyFont="1" applyAlignment="1">
      <alignment horizontal="left"/>
    </xf>
    <xf numFmtId="165" fontId="0" fillId="0" borderId="0" xfId="0" applyNumberFormat="1" applyAlignment="1">
      <alignment horizontal="left"/>
    </xf>
    <xf numFmtId="0" fontId="6" fillId="0" borderId="12" xfId="0" applyFont="1" applyBorder="1"/>
    <xf numFmtId="2" fontId="1" fillId="0" borderId="11" xfId="0" applyNumberFormat="1" applyFont="1" applyBorder="1"/>
    <xf numFmtId="0" fontId="1" fillId="0" borderId="15" xfId="0" applyFont="1" applyBorder="1"/>
    <xf numFmtId="165" fontId="1" fillId="0" borderId="17" xfId="0" applyNumberFormat="1" applyFont="1" applyBorder="1"/>
    <xf numFmtId="0" fontId="8" fillId="0" borderId="12" xfId="0" applyFont="1" applyBorder="1"/>
    <xf numFmtId="0" fontId="0" fillId="0" borderId="8" xfId="0" applyBorder="1"/>
    <xf numFmtId="164" fontId="0" fillId="0" borderId="8" xfId="0" applyNumberFormat="1" applyBorder="1"/>
    <xf numFmtId="0" fontId="0" fillId="0" borderId="9" xfId="0" applyBorder="1"/>
    <xf numFmtId="0" fontId="0" fillId="0" borderId="4" xfId="0" applyBorder="1"/>
    <xf numFmtId="164" fontId="0" fillId="0" borderId="14" xfId="0" applyNumberFormat="1" applyBorder="1"/>
    <xf numFmtId="0" fontId="0" fillId="0" borderId="13" xfId="0" applyBorder="1"/>
    <xf numFmtId="0" fontId="0" fillId="0" borderId="18" xfId="0" applyBorder="1"/>
    <xf numFmtId="0" fontId="5" fillId="0" borderId="5" xfId="0" applyFont="1" applyBorder="1" applyAlignment="1">
      <alignment horizontal="center"/>
    </xf>
    <xf numFmtId="11" fontId="0" fillId="0" borderId="7" xfId="0" applyNumberFormat="1" applyBorder="1" applyAlignment="1">
      <alignment horizontal="center"/>
    </xf>
    <xf numFmtId="0" fontId="0" fillId="0" borderId="7" xfId="0" applyBorder="1" applyAlignment="1">
      <alignment horizontal="center"/>
    </xf>
    <xf numFmtId="0" fontId="5" fillId="0" borderId="7" xfId="0" applyFont="1" applyBorder="1" applyAlignment="1">
      <alignment horizontal="center"/>
    </xf>
    <xf numFmtId="0" fontId="5" fillId="0" borderId="12" xfId="0" applyFont="1" applyBorder="1"/>
    <xf numFmtId="0" fontId="5" fillId="0" borderId="4" xfId="0" applyFont="1" applyBorder="1"/>
    <xf numFmtId="2" fontId="1" fillId="0" borderId="9" xfId="0" applyNumberFormat="1" applyFont="1" applyBorder="1"/>
    <xf numFmtId="164" fontId="1" fillId="0" borderId="13" xfId="0" applyNumberFormat="1" applyFont="1" applyBorder="1"/>
    <xf numFmtId="165" fontId="0" fillId="0" borderId="0" xfId="0" applyNumberFormat="1" applyAlignment="1">
      <alignment horizontal="center"/>
    </xf>
    <xf numFmtId="0" fontId="0" fillId="0" borderId="20" xfId="0" applyBorder="1" applyAlignment="1">
      <alignment horizontal="center"/>
    </xf>
    <xf numFmtId="165" fontId="0" fillId="0" borderId="20" xfId="0" applyNumberFormat="1" applyBorder="1" applyAlignment="1">
      <alignment horizontal="center"/>
    </xf>
    <xf numFmtId="0" fontId="0" fillId="0" borderId="20" xfId="0" applyBorder="1"/>
    <xf numFmtId="0" fontId="4" fillId="0" borderId="0" xfId="0" applyFont="1"/>
    <xf numFmtId="0" fontId="2" fillId="0" borderId="0" xfId="0" applyFont="1" applyAlignment="1">
      <alignment vertical="top" wrapText="1"/>
    </xf>
    <xf numFmtId="0" fontId="4" fillId="0" borderId="0" xfId="0" applyFont="1" applyAlignment="1">
      <alignment horizontal="center"/>
    </xf>
    <xf numFmtId="0" fontId="0" fillId="0" borderId="22" xfId="0" applyBorder="1"/>
    <xf numFmtId="0" fontId="0" fillId="0" borderId="23" xfId="0" applyBorder="1" applyAlignment="1">
      <alignment horizontal="center"/>
    </xf>
    <xf numFmtId="165" fontId="1" fillId="0" borderId="0" xfId="0" applyNumberFormat="1" applyFont="1"/>
    <xf numFmtId="0" fontId="1" fillId="0" borderId="22" xfId="0" applyFont="1" applyBorder="1" applyAlignment="1">
      <alignment horizontal="left"/>
    </xf>
    <xf numFmtId="165" fontId="1" fillId="0" borderId="0" xfId="0" applyNumberFormat="1" applyFont="1" applyAlignment="1">
      <alignment horizontal="center"/>
    </xf>
    <xf numFmtId="164" fontId="0" fillId="0" borderId="35" xfId="0" applyNumberFormat="1" applyBorder="1" applyAlignment="1">
      <alignment horizontal="center"/>
    </xf>
    <xf numFmtId="0" fontId="5" fillId="0" borderId="34" xfId="0" applyFont="1" applyBorder="1" applyAlignment="1">
      <alignment horizontal="center"/>
    </xf>
    <xf numFmtId="164" fontId="1" fillId="0" borderId="35" xfId="0" applyNumberFormat="1"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0" borderId="35" xfId="0" applyFont="1" applyBorder="1" applyAlignment="1">
      <alignment horizontal="center"/>
    </xf>
    <xf numFmtId="0" fontId="1" fillId="0" borderId="19" xfId="0" applyFont="1" applyBorder="1"/>
    <xf numFmtId="0" fontId="1" fillId="0" borderId="33" xfId="0" applyFont="1" applyBorder="1" applyAlignment="1">
      <alignment horizontal="left"/>
    </xf>
    <xf numFmtId="0" fontId="0" fillId="0" borderId="9" xfId="0" applyBorder="1" applyAlignment="1">
      <alignment horizontal="center"/>
    </xf>
    <xf numFmtId="0" fontId="0" fillId="0" borderId="13" xfId="0" applyBorder="1" applyAlignment="1">
      <alignment horizontal="center"/>
    </xf>
    <xf numFmtId="0" fontId="1" fillId="0" borderId="0" xfId="0" applyFont="1" applyAlignment="1">
      <alignment horizontal="left"/>
    </xf>
    <xf numFmtId="0" fontId="0" fillId="0" borderId="33" xfId="0" applyBorder="1"/>
    <xf numFmtId="0" fontId="0" fillId="0" borderId="30" xfId="0" applyBorder="1" applyAlignment="1">
      <alignment horizontal="center"/>
    </xf>
    <xf numFmtId="0" fontId="0" fillId="0" borderId="21" xfId="0" applyBorder="1"/>
    <xf numFmtId="0" fontId="0" fillId="0" borderId="23" xfId="0" applyBorder="1"/>
    <xf numFmtId="0" fontId="6" fillId="0" borderId="0" xfId="0" applyFont="1" applyAlignment="1">
      <alignment horizontal="center"/>
    </xf>
    <xf numFmtId="0" fontId="0" fillId="0" borderId="21" xfId="0" applyBorder="1" applyAlignment="1">
      <alignment horizontal="center"/>
    </xf>
    <xf numFmtId="164" fontId="0" fillId="0" borderId="0" xfId="0" applyNumberFormat="1" applyAlignment="1">
      <alignment horizontal="center"/>
    </xf>
    <xf numFmtId="0" fontId="4" fillId="0" borderId="22" xfId="0" applyFont="1" applyBorder="1" applyAlignment="1">
      <alignment horizontal="center"/>
    </xf>
    <xf numFmtId="0" fontId="0" fillId="0" borderId="22" xfId="0" applyBorder="1" applyAlignment="1">
      <alignment horizontal="center"/>
    </xf>
    <xf numFmtId="0" fontId="0" fillId="0" borderId="19" xfId="0" applyBorder="1"/>
    <xf numFmtId="0" fontId="0" fillId="0" borderId="31" xfId="0" applyBorder="1" applyAlignment="1">
      <alignment horizontal="center"/>
    </xf>
    <xf numFmtId="0" fontId="0" fillId="3" borderId="21" xfId="0" applyFill="1" applyBorder="1" applyAlignment="1">
      <alignment horizontal="center"/>
    </xf>
    <xf numFmtId="0" fontId="6" fillId="3" borderId="26" xfId="0" applyFont="1" applyFill="1" applyBorder="1" applyAlignment="1">
      <alignment horizontal="center"/>
    </xf>
    <xf numFmtId="0" fontId="1" fillId="3" borderId="5" xfId="0" applyFont="1" applyFill="1" applyBorder="1"/>
    <xf numFmtId="165" fontId="0" fillId="3" borderId="28" xfId="0" applyNumberFormat="1" applyFill="1" applyBorder="1" applyAlignment="1">
      <alignment horizontal="center"/>
    </xf>
    <xf numFmtId="0" fontId="1" fillId="4" borderId="7" xfId="0" applyFont="1" applyFill="1" applyBorder="1"/>
    <xf numFmtId="165" fontId="0" fillId="4" borderId="28" xfId="0" applyNumberFormat="1" applyFill="1" applyBorder="1" applyAlignment="1">
      <alignment horizontal="center"/>
    </xf>
    <xf numFmtId="0" fontId="6" fillId="3" borderId="19" xfId="0" applyFont="1" applyFill="1" applyBorder="1" applyAlignment="1">
      <alignment horizontal="left"/>
    </xf>
    <xf numFmtId="0" fontId="6" fillId="4" borderId="19" xfId="0" applyFont="1" applyFill="1" applyBorder="1"/>
    <xf numFmtId="0" fontId="1" fillId="4" borderId="7" xfId="0" applyFont="1" applyFill="1" applyBorder="1" applyAlignment="1">
      <alignment horizontal="left"/>
    </xf>
    <xf numFmtId="0" fontId="1" fillId="3" borderId="7" xfId="0" applyFont="1" applyFill="1" applyBorder="1" applyAlignment="1">
      <alignment horizontal="left"/>
    </xf>
    <xf numFmtId="0" fontId="1" fillId="3" borderId="20" xfId="0" applyFont="1" applyFill="1" applyBorder="1" applyAlignment="1">
      <alignment horizontal="left"/>
    </xf>
    <xf numFmtId="0" fontId="6" fillId="6" borderId="19" xfId="0" applyFont="1" applyFill="1" applyBorder="1"/>
    <xf numFmtId="0" fontId="1" fillId="6" borderId="22" xfId="0" applyFont="1" applyFill="1" applyBorder="1"/>
    <xf numFmtId="0" fontId="0" fillId="6" borderId="22" xfId="0" applyFill="1" applyBorder="1"/>
    <xf numFmtId="0" fontId="1" fillId="4" borderId="22" xfId="0" applyFont="1" applyFill="1" applyBorder="1"/>
    <xf numFmtId="0" fontId="0" fillId="4" borderId="22" xfId="0" applyFill="1" applyBorder="1"/>
    <xf numFmtId="0" fontId="0" fillId="5" borderId="7" xfId="0" applyFill="1" applyBorder="1" applyAlignment="1" applyProtection="1">
      <alignment horizontal="center"/>
      <protection locked="0"/>
    </xf>
    <xf numFmtId="0" fontId="0" fillId="5" borderId="6" xfId="0" applyFill="1" applyBorder="1" applyAlignment="1" applyProtection="1">
      <alignment horizontal="center"/>
      <protection locked="0"/>
    </xf>
    <xf numFmtId="2" fontId="6" fillId="2" borderId="10" xfId="0" applyNumberFormat="1" applyFont="1" applyFill="1" applyBorder="1" applyAlignment="1">
      <alignment horizontal="right"/>
    </xf>
    <xf numFmtId="2" fontId="6" fillId="2" borderId="13" xfId="0" applyNumberFormat="1" applyFont="1" applyFill="1" applyBorder="1" applyAlignment="1">
      <alignment horizontal="right"/>
    </xf>
    <xf numFmtId="0" fontId="8" fillId="0" borderId="0" xfId="0" applyFont="1"/>
    <xf numFmtId="0" fontId="6" fillId="2" borderId="22" xfId="0" applyFont="1" applyFill="1" applyBorder="1" applyAlignment="1">
      <alignment horizontal="left"/>
    </xf>
    <xf numFmtId="165" fontId="0" fillId="0" borderId="30" xfId="0" applyNumberFormat="1" applyBorder="1" applyAlignment="1">
      <alignment horizontal="center"/>
    </xf>
    <xf numFmtId="0" fontId="0" fillId="0" borderId="30" xfId="0" applyBorder="1"/>
    <xf numFmtId="0" fontId="0" fillId="0" borderId="31" xfId="0" applyBorder="1"/>
    <xf numFmtId="0" fontId="1" fillId="6" borderId="12" xfId="0" applyFont="1" applyFill="1" applyBorder="1"/>
    <xf numFmtId="0" fontId="1" fillId="6" borderId="11" xfId="0" applyFont="1" applyFill="1" applyBorder="1"/>
    <xf numFmtId="165" fontId="0" fillId="6" borderId="10" xfId="0" applyNumberFormat="1" applyFill="1" applyBorder="1" applyAlignment="1">
      <alignment horizontal="center"/>
    </xf>
    <xf numFmtId="2" fontId="0" fillId="6" borderId="10" xfId="0" applyNumberFormat="1" applyFill="1" applyBorder="1" applyAlignment="1">
      <alignment horizontal="center"/>
    </xf>
    <xf numFmtId="0" fontId="1" fillId="6" borderId="4" xfId="0" applyFont="1" applyFill="1" applyBorder="1" applyAlignment="1">
      <alignment horizontal="left"/>
    </xf>
    <xf numFmtId="2" fontId="0" fillId="6" borderId="13" xfId="0" applyNumberFormat="1" applyFill="1" applyBorder="1" applyAlignment="1">
      <alignment horizontal="center"/>
    </xf>
    <xf numFmtId="0" fontId="1" fillId="4" borderId="12" xfId="0" applyFont="1" applyFill="1" applyBorder="1"/>
    <xf numFmtId="0" fontId="1" fillId="4" borderId="11" xfId="0" applyFont="1" applyFill="1" applyBorder="1"/>
    <xf numFmtId="165" fontId="0" fillId="4" borderId="10" xfId="0" applyNumberFormat="1" applyFill="1" applyBorder="1" applyAlignment="1">
      <alignment horizontal="center"/>
    </xf>
    <xf numFmtId="2" fontId="0" fillId="4" borderId="10" xfId="0" applyNumberFormat="1" applyFill="1" applyBorder="1" applyAlignment="1">
      <alignment horizontal="center"/>
    </xf>
    <xf numFmtId="0" fontId="1" fillId="4" borderId="4" xfId="0" applyFont="1" applyFill="1" applyBorder="1" applyAlignment="1">
      <alignment horizontal="left"/>
    </xf>
    <xf numFmtId="2" fontId="0" fillId="4" borderId="13" xfId="0" applyNumberFormat="1" applyFill="1" applyBorder="1" applyAlignment="1">
      <alignment horizontal="center"/>
    </xf>
    <xf numFmtId="0" fontId="1" fillId="6" borderId="32" xfId="0" applyFont="1" applyFill="1" applyBorder="1"/>
    <xf numFmtId="0" fontId="1" fillId="4" borderId="32" xfId="0" applyFont="1" applyFill="1" applyBorder="1"/>
    <xf numFmtId="0" fontId="5" fillId="6" borderId="40" xfId="0" applyFont="1" applyFill="1" applyBorder="1" applyAlignment="1">
      <alignment horizontal="center"/>
    </xf>
    <xf numFmtId="0" fontId="5" fillId="6" borderId="41" xfId="0" applyFont="1" applyFill="1" applyBorder="1" applyAlignment="1">
      <alignment horizontal="center"/>
    </xf>
    <xf numFmtId="0" fontId="4" fillId="6" borderId="42" xfId="0" applyFont="1" applyFill="1" applyBorder="1" applyAlignment="1">
      <alignment horizontal="center"/>
    </xf>
    <xf numFmtId="0" fontId="5" fillId="6" borderId="42" xfId="0" applyFont="1" applyFill="1" applyBorder="1" applyAlignment="1">
      <alignment horizontal="center"/>
    </xf>
    <xf numFmtId="0" fontId="5" fillId="6" borderId="43" xfId="0" applyFont="1" applyFill="1" applyBorder="1" applyAlignment="1">
      <alignment horizontal="center"/>
    </xf>
    <xf numFmtId="0" fontId="0" fillId="6" borderId="42" xfId="0" applyFill="1" applyBorder="1" applyAlignment="1">
      <alignment horizontal="center"/>
    </xf>
    <xf numFmtId="2" fontId="0" fillId="6" borderId="43" xfId="0" applyNumberFormat="1" applyFill="1" applyBorder="1" applyAlignment="1">
      <alignment horizontal="center"/>
    </xf>
    <xf numFmtId="0" fontId="0" fillId="6" borderId="43" xfId="0" applyFill="1" applyBorder="1" applyAlignment="1">
      <alignment horizontal="center"/>
    </xf>
    <xf numFmtId="0" fontId="5" fillId="4" borderId="40" xfId="0" applyFont="1" applyFill="1" applyBorder="1" applyAlignment="1">
      <alignment horizontal="center"/>
    </xf>
    <xf numFmtId="0" fontId="5" fillId="4" borderId="41" xfId="0" applyFont="1" applyFill="1" applyBorder="1" applyAlignment="1">
      <alignment horizontal="center"/>
    </xf>
    <xf numFmtId="0" fontId="4" fillId="4" borderId="42" xfId="0" applyFont="1" applyFill="1" applyBorder="1" applyAlignment="1">
      <alignment horizontal="center"/>
    </xf>
    <xf numFmtId="0" fontId="5" fillId="4" borderId="42" xfId="0" applyFont="1" applyFill="1" applyBorder="1" applyAlignment="1">
      <alignment horizontal="center"/>
    </xf>
    <xf numFmtId="0" fontId="5" fillId="4" borderId="43" xfId="0" applyFont="1" applyFill="1" applyBorder="1" applyAlignment="1">
      <alignment horizontal="center"/>
    </xf>
    <xf numFmtId="0" fontId="0" fillId="4" borderId="42" xfId="0" applyFill="1" applyBorder="1" applyAlignment="1">
      <alignment horizontal="center"/>
    </xf>
    <xf numFmtId="2" fontId="0" fillId="4" borderId="43" xfId="0" applyNumberFormat="1" applyFill="1" applyBorder="1" applyAlignment="1">
      <alignment horizontal="center"/>
    </xf>
    <xf numFmtId="0" fontId="0" fillId="4" borderId="43" xfId="0" applyFill="1" applyBorder="1" applyAlignment="1">
      <alignment horizontal="center"/>
    </xf>
    <xf numFmtId="165" fontId="1" fillId="0" borderId="4" xfId="0" applyNumberFormat="1" applyFont="1" applyBorder="1" applyAlignment="1">
      <alignment horizontal="center" vertical="top"/>
    </xf>
    <xf numFmtId="0" fontId="1" fillId="0" borderId="44" xfId="0" applyFont="1" applyBorder="1" applyAlignment="1">
      <alignment horizontal="left"/>
    </xf>
    <xf numFmtId="0" fontId="0" fillId="0" borderId="45" xfId="0" applyBorder="1" applyAlignment="1">
      <alignment horizontal="center"/>
    </xf>
    <xf numFmtId="164" fontId="4" fillId="6" borderId="43" xfId="0" applyNumberFormat="1" applyFont="1" applyFill="1" applyBorder="1" applyAlignment="1">
      <alignment horizontal="center"/>
    </xf>
    <xf numFmtId="164" fontId="0" fillId="6" borderId="43" xfId="0" applyNumberFormat="1" applyFill="1" applyBorder="1" applyAlignment="1">
      <alignment horizontal="center"/>
    </xf>
    <xf numFmtId="164" fontId="0" fillId="4" borderId="43" xfId="0" applyNumberFormat="1" applyFill="1" applyBorder="1" applyAlignment="1">
      <alignment horizontal="center"/>
    </xf>
    <xf numFmtId="164" fontId="4" fillId="4" borderId="43" xfId="0" applyNumberFormat="1" applyFont="1" applyFill="1" applyBorder="1" applyAlignment="1">
      <alignment horizontal="center"/>
    </xf>
    <xf numFmtId="164" fontId="1" fillId="6" borderId="9" xfId="0" applyNumberFormat="1" applyFont="1" applyFill="1" applyBorder="1" applyAlignment="1">
      <alignment horizontal="center"/>
    </xf>
    <xf numFmtId="164" fontId="1" fillId="4" borderId="9" xfId="0" applyNumberFormat="1" applyFont="1" applyFill="1" applyBorder="1" applyAlignment="1">
      <alignment horizontal="center"/>
    </xf>
    <xf numFmtId="0" fontId="0" fillId="5" borderId="22" xfId="0" applyFill="1" applyBorder="1" applyProtection="1">
      <protection locked="0"/>
    </xf>
    <xf numFmtId="0" fontId="0" fillId="5" borderId="42" xfId="0" applyFill="1" applyBorder="1" applyAlignment="1" applyProtection="1">
      <alignment horizontal="center"/>
      <protection locked="0"/>
    </xf>
    <xf numFmtId="0" fontId="0" fillId="5" borderId="27" xfId="0" applyFill="1" applyBorder="1" applyProtection="1">
      <protection locked="0"/>
    </xf>
    <xf numFmtId="0" fontId="16" fillId="2" borderId="39" xfId="0" applyFont="1" applyFill="1" applyBorder="1" applyAlignment="1">
      <alignment horizontal="center" vertical="center"/>
    </xf>
    <xf numFmtId="164" fontId="2" fillId="0" borderId="1" xfId="0" applyNumberFormat="1" applyFont="1" applyBorder="1" applyAlignment="1">
      <alignment vertical="top" wrapText="1"/>
    </xf>
    <xf numFmtId="0" fontId="1" fillId="0" borderId="12" xfId="0" applyFont="1" applyBorder="1" applyAlignment="1">
      <alignment horizontal="left"/>
    </xf>
    <xf numFmtId="0" fontId="0" fillId="5" borderId="4" xfId="0" applyFill="1" applyBorder="1" applyAlignment="1" applyProtection="1">
      <alignment horizontal="center"/>
      <protection locked="0"/>
    </xf>
    <xf numFmtId="0" fontId="1" fillId="0" borderId="16" xfId="0" applyFont="1" applyBorder="1"/>
    <xf numFmtId="9" fontId="0" fillId="7" borderId="4" xfId="0" applyNumberFormat="1" applyFill="1" applyBorder="1" applyAlignment="1" applyProtection="1">
      <alignment horizontal="center"/>
      <protection locked="0"/>
    </xf>
    <xf numFmtId="2" fontId="0" fillId="0" borderId="0" xfId="0" applyNumberFormat="1"/>
    <xf numFmtId="1" fontId="2" fillId="5" borderId="1" xfId="0" applyNumberFormat="1" applyFont="1" applyFill="1" applyBorder="1" applyAlignment="1" applyProtection="1">
      <alignment vertical="top" wrapText="1"/>
      <protection locked="0"/>
    </xf>
    <xf numFmtId="164" fontId="2" fillId="5" borderId="1" xfId="0" applyNumberFormat="1" applyFont="1" applyFill="1" applyBorder="1" applyAlignment="1" applyProtection="1">
      <alignment vertical="top" wrapText="1"/>
      <protection locked="0"/>
    </xf>
    <xf numFmtId="0" fontId="2" fillId="0" borderId="48" xfId="0" applyFont="1" applyBorder="1" applyAlignment="1">
      <alignment vertical="top" wrapText="1"/>
    </xf>
    <xf numFmtId="0" fontId="2" fillId="5" borderId="1" xfId="0" applyFont="1" applyFill="1" applyBorder="1" applyAlignment="1" applyProtection="1">
      <alignment vertical="top" wrapText="1"/>
      <protection locked="0"/>
    </xf>
    <xf numFmtId="0" fontId="6" fillId="2" borderId="33" xfId="0" applyFont="1" applyFill="1" applyBorder="1" applyAlignment="1">
      <alignment horizontal="left"/>
    </xf>
    <xf numFmtId="164" fontId="0" fillId="0" borderId="30" xfId="0" applyNumberFormat="1" applyBorder="1" applyAlignment="1">
      <alignment horizontal="center"/>
    </xf>
    <xf numFmtId="0" fontId="17" fillId="2" borderId="37" xfId="0" applyFont="1" applyFill="1" applyBorder="1" applyAlignment="1">
      <alignment horizontal="center" vertical="center"/>
    </xf>
    <xf numFmtId="165" fontId="0" fillId="5" borderId="10" xfId="0" applyNumberFormat="1" applyFill="1" applyBorder="1" applyAlignment="1" applyProtection="1">
      <alignment horizontal="center"/>
      <protection locked="0"/>
    </xf>
    <xf numFmtId="0" fontId="0" fillId="0" borderId="0" xfId="0" applyAlignment="1">
      <alignment horizontal="center" vertical="center" wrapText="1"/>
    </xf>
    <xf numFmtId="165" fontId="0" fillId="0" borderId="0" xfId="0" applyNumberFormat="1" applyAlignment="1">
      <alignment vertical="center" wrapText="1"/>
    </xf>
    <xf numFmtId="0" fontId="0" fillId="0" borderId="4" xfId="0" applyBorder="1" applyAlignment="1">
      <alignment horizontal="center"/>
    </xf>
    <xf numFmtId="0" fontId="0" fillId="0" borderId="17" xfId="0" applyBorder="1"/>
    <xf numFmtId="164" fontId="1" fillId="0" borderId="4" xfId="0" applyNumberFormat="1" applyFont="1" applyBorder="1"/>
    <xf numFmtId="0" fontId="1" fillId="0" borderId="46" xfId="0" applyFont="1" applyBorder="1"/>
    <xf numFmtId="165" fontId="0" fillId="0" borderId="47" xfId="0" applyNumberFormat="1" applyBorder="1"/>
    <xf numFmtId="1" fontId="2" fillId="0" borderId="2" xfId="0" applyNumberFormat="1" applyFont="1" applyBorder="1" applyAlignment="1">
      <alignment wrapText="1"/>
    </xf>
    <xf numFmtId="164" fontId="2" fillId="0" borderId="3" xfId="0" applyNumberFormat="1" applyFont="1" applyBorder="1" applyAlignment="1">
      <alignment wrapText="1"/>
    </xf>
    <xf numFmtId="164" fontId="0" fillId="0" borderId="15" xfId="0" applyNumberFormat="1" applyBorder="1" applyAlignment="1">
      <alignment horizontal="center"/>
    </xf>
    <xf numFmtId="0" fontId="1" fillId="3" borderId="49" xfId="0" applyFont="1" applyFill="1" applyBorder="1" applyAlignment="1">
      <alignment horizontal="center"/>
    </xf>
    <xf numFmtId="0" fontId="5" fillId="3" borderId="49" xfId="0" applyFont="1" applyFill="1" applyBorder="1" applyAlignment="1">
      <alignment horizontal="center"/>
    </xf>
    <xf numFmtId="0" fontId="1" fillId="3" borderId="7" xfId="0" applyFont="1" applyFill="1" applyBorder="1" applyAlignment="1">
      <alignment horizontal="left" wrapText="1"/>
    </xf>
    <xf numFmtId="0" fontId="1" fillId="3" borderId="50" xfId="0" applyFont="1" applyFill="1" applyBorder="1"/>
    <xf numFmtId="0" fontId="1" fillId="3" borderId="6" xfId="0" applyFont="1" applyFill="1" applyBorder="1" applyAlignment="1">
      <alignment horizontal="center"/>
    </xf>
    <xf numFmtId="0" fontId="1" fillId="3" borderId="6" xfId="0" applyFont="1" applyFill="1" applyBorder="1"/>
    <xf numFmtId="0" fontId="6" fillId="4" borderId="22" xfId="0" applyFont="1" applyFill="1" applyBorder="1" applyAlignment="1">
      <alignment horizontal="center"/>
    </xf>
    <xf numFmtId="0" fontId="6" fillId="4" borderId="51" xfId="0" applyFont="1" applyFill="1" applyBorder="1"/>
    <xf numFmtId="0" fontId="1" fillId="4" borderId="49" xfId="0" applyFont="1" applyFill="1" applyBorder="1" applyAlignment="1">
      <alignment horizontal="center"/>
    </xf>
    <xf numFmtId="0" fontId="1" fillId="4" borderId="49" xfId="0" applyFont="1" applyFill="1" applyBorder="1" applyAlignment="1">
      <alignment horizontal="left"/>
    </xf>
    <xf numFmtId="0" fontId="0" fillId="4" borderId="52" xfId="0" applyFill="1" applyBorder="1" applyAlignment="1">
      <alignment horizontal="center"/>
    </xf>
    <xf numFmtId="0" fontId="21" fillId="4" borderId="49" xfId="0" applyFont="1" applyFill="1" applyBorder="1" applyAlignment="1">
      <alignment horizontal="center"/>
    </xf>
    <xf numFmtId="0" fontId="1" fillId="4" borderId="7" xfId="0" applyFont="1" applyFill="1" applyBorder="1" applyAlignment="1">
      <alignment horizontal="left" wrapText="1"/>
    </xf>
    <xf numFmtId="0" fontId="6" fillId="4" borderId="49" xfId="0" applyFont="1" applyFill="1" applyBorder="1" applyAlignment="1">
      <alignment horizontal="center"/>
    </xf>
    <xf numFmtId="0" fontId="6" fillId="3" borderId="49" xfId="0" applyFont="1" applyFill="1" applyBorder="1" applyAlignment="1">
      <alignment horizontal="center"/>
    </xf>
    <xf numFmtId="0" fontId="1" fillId="4" borderId="50" xfId="0" applyFont="1" applyFill="1" applyBorder="1"/>
    <xf numFmtId="0" fontId="1" fillId="4" borderId="6" xfId="0" applyFont="1" applyFill="1" applyBorder="1" applyAlignment="1">
      <alignment horizontal="center"/>
    </xf>
    <xf numFmtId="0" fontId="1" fillId="4" borderId="6" xfId="0" applyFont="1" applyFill="1" applyBorder="1"/>
    <xf numFmtId="164" fontId="0" fillId="0" borderId="23" xfId="0" applyNumberFormat="1" applyBorder="1" applyAlignment="1">
      <alignment horizontal="center"/>
    </xf>
    <xf numFmtId="0" fontId="8" fillId="0" borderId="0" xfId="0" applyFont="1" applyAlignment="1">
      <alignment horizontal="left"/>
    </xf>
    <xf numFmtId="0" fontId="8" fillId="0" borderId="0" xfId="0" applyFont="1" applyAlignment="1">
      <alignment horizontal="center"/>
    </xf>
    <xf numFmtId="0" fontId="19" fillId="8" borderId="53" xfId="0" applyFont="1" applyFill="1" applyBorder="1"/>
    <xf numFmtId="0" fontId="19" fillId="8" borderId="54" xfId="0" applyFont="1" applyFill="1" applyBorder="1"/>
    <xf numFmtId="0" fontId="20" fillId="8" borderId="55" xfId="0" applyFont="1" applyFill="1" applyBorder="1"/>
    <xf numFmtId="0" fontId="0" fillId="9" borderId="56" xfId="0" applyFill="1" applyBorder="1"/>
    <xf numFmtId="0" fontId="4" fillId="9" borderId="57" xfId="0" applyFont="1" applyFill="1" applyBorder="1"/>
    <xf numFmtId="0" fontId="2" fillId="0" borderId="56" xfId="0" applyFont="1" applyBorder="1" applyAlignment="1">
      <alignment vertical="top" wrapText="1"/>
    </xf>
    <xf numFmtId="0" fontId="2" fillId="0" borderId="57" xfId="0" applyFont="1" applyBorder="1" applyAlignment="1">
      <alignment vertical="top" wrapText="1"/>
    </xf>
    <xf numFmtId="0" fontId="2" fillId="9" borderId="56" xfId="0" applyFont="1" applyFill="1" applyBorder="1" applyAlignment="1">
      <alignment vertical="top" wrapText="1"/>
    </xf>
    <xf numFmtId="0" fontId="0" fillId="0" borderId="56" xfId="0" applyBorder="1"/>
    <xf numFmtId="0" fontId="0" fillId="0" borderId="57" xfId="0" applyBorder="1"/>
    <xf numFmtId="0" fontId="0" fillId="9" borderId="57" xfId="0" applyFill="1" applyBorder="1"/>
    <xf numFmtId="0" fontId="3" fillId="9" borderId="56" xfId="1" applyFill="1" applyBorder="1" applyAlignment="1">
      <alignment vertical="center" wrapText="1"/>
    </xf>
    <xf numFmtId="0" fontId="2" fillId="9" borderId="56" xfId="0" applyFont="1" applyFill="1" applyBorder="1" applyAlignment="1">
      <alignment vertical="center" wrapText="1"/>
    </xf>
    <xf numFmtId="0" fontId="2" fillId="9" borderId="57" xfId="0" applyFont="1" applyFill="1" applyBorder="1" applyAlignment="1">
      <alignment vertical="center" wrapText="1"/>
    </xf>
    <xf numFmtId="0" fontId="3" fillId="0" borderId="56" xfId="1" applyBorder="1" applyAlignment="1">
      <alignment vertical="center" wrapText="1"/>
    </xf>
    <xf numFmtId="0" fontId="2" fillId="0" borderId="56" xfId="0" applyFont="1" applyBorder="1" applyAlignment="1">
      <alignment vertical="center" wrapText="1"/>
    </xf>
    <xf numFmtId="0" fontId="2" fillId="0" borderId="57" xfId="0" applyFont="1" applyBorder="1" applyAlignment="1">
      <alignment vertical="center" wrapText="1"/>
    </xf>
    <xf numFmtId="0" fontId="2" fillId="9" borderId="57" xfId="0" applyFont="1" applyFill="1" applyBorder="1" applyAlignment="1">
      <alignment vertical="top" wrapText="1"/>
    </xf>
    <xf numFmtId="0" fontId="3" fillId="0" borderId="56" xfId="1" applyBorder="1" applyAlignment="1">
      <alignment vertical="top" wrapText="1"/>
    </xf>
    <xf numFmtId="0" fontId="3" fillId="9" borderId="56" xfId="1" applyFill="1" applyBorder="1" applyAlignment="1">
      <alignment vertical="top" wrapText="1"/>
    </xf>
    <xf numFmtId="0" fontId="3" fillId="0" borderId="58" xfId="1" applyBorder="1" applyAlignment="1">
      <alignment vertical="top" wrapText="1"/>
    </xf>
    <xf numFmtId="0" fontId="2" fillId="0" borderId="58" xfId="0" applyFont="1" applyBorder="1" applyAlignment="1">
      <alignment vertical="top" wrapText="1"/>
    </xf>
    <xf numFmtId="164" fontId="2" fillId="0" borderId="1" xfId="0" applyNumberFormat="1" applyFont="1" applyBorder="1" applyAlignment="1">
      <alignment vertical="center" wrapText="1"/>
    </xf>
    <xf numFmtId="164" fontId="1" fillId="0" borderId="10" xfId="0" applyNumberFormat="1" applyFont="1" applyBorder="1"/>
    <xf numFmtId="165" fontId="1" fillId="0" borderId="10" xfId="0" applyNumberFormat="1" applyFont="1" applyBorder="1"/>
    <xf numFmtId="165" fontId="1" fillId="5" borderId="10" xfId="0" applyNumberFormat="1" applyFont="1" applyFill="1" applyBorder="1" applyProtection="1">
      <protection locked="0"/>
    </xf>
    <xf numFmtId="165" fontId="1" fillId="0" borderId="13" xfId="0" applyNumberFormat="1" applyFont="1" applyBorder="1"/>
    <xf numFmtId="0" fontId="0" fillId="5" borderId="56" xfId="0" applyFill="1" applyBorder="1" applyProtection="1">
      <protection locked="0"/>
    </xf>
    <xf numFmtId="0" fontId="4" fillId="5" borderId="57" xfId="0" applyFont="1" applyFill="1" applyBorder="1" applyProtection="1">
      <protection locked="0"/>
    </xf>
    <xf numFmtId="49" fontId="0" fillId="5" borderId="56" xfId="0" applyNumberFormat="1" applyFill="1" applyBorder="1" applyProtection="1">
      <protection locked="0"/>
    </xf>
    <xf numFmtId="0" fontId="1" fillId="0" borderId="59" xfId="0" applyFont="1" applyBorder="1" applyAlignment="1">
      <alignment horizontal="center"/>
    </xf>
    <xf numFmtId="165" fontId="1" fillId="0" borderId="60" xfId="0" applyNumberFormat="1" applyFont="1" applyBorder="1" applyAlignment="1">
      <alignment horizontal="center"/>
    </xf>
    <xf numFmtId="2" fontId="1" fillId="0" borderId="61" xfId="0" applyNumberFormat="1" applyFont="1" applyBorder="1" applyAlignment="1">
      <alignment horizontal="center"/>
    </xf>
    <xf numFmtId="0" fontId="1" fillId="3" borderId="22" xfId="0" applyFont="1" applyFill="1" applyBorder="1" applyProtection="1">
      <protection locked="0"/>
    </xf>
    <xf numFmtId="0" fontId="1" fillId="4" borderId="0" xfId="0" applyFont="1" applyFill="1" applyProtection="1">
      <protection locked="0"/>
    </xf>
    <xf numFmtId="0" fontId="0" fillId="5" borderId="63" xfId="0" applyFill="1" applyBorder="1" applyProtection="1">
      <protection locked="0"/>
    </xf>
    <xf numFmtId="2" fontId="0" fillId="3" borderId="64" xfId="0" applyNumberFormat="1" applyFill="1" applyBorder="1" applyAlignment="1">
      <alignment horizontal="center"/>
    </xf>
    <xf numFmtId="0" fontId="0" fillId="0" borderId="66" xfId="0" applyBorder="1" applyAlignment="1" applyProtection="1">
      <alignment horizontal="center"/>
      <protection locked="0"/>
    </xf>
    <xf numFmtId="2" fontId="1" fillId="0" borderId="20" xfId="0" applyNumberFormat="1" applyFont="1" applyBorder="1"/>
    <xf numFmtId="2" fontId="1" fillId="0" borderId="21" xfId="0" applyNumberFormat="1" applyFont="1" applyBorder="1" applyAlignment="1">
      <alignment horizontal="center"/>
    </xf>
    <xf numFmtId="164" fontId="0" fillId="0" borderId="66" xfId="0" applyNumberFormat="1" applyBorder="1" applyAlignment="1">
      <alignment horizontal="center"/>
    </xf>
    <xf numFmtId="0" fontId="0" fillId="0" borderId="0" xfId="0" applyProtection="1">
      <protection locked="0"/>
    </xf>
    <xf numFmtId="0" fontId="0" fillId="0" borderId="0" xfId="0" applyAlignment="1" applyProtection="1">
      <alignment horizontal="center"/>
      <protection locked="0"/>
    </xf>
    <xf numFmtId="2" fontId="1" fillId="0" borderId="0" xfId="0" applyNumberFormat="1" applyFont="1"/>
    <xf numFmtId="2" fontId="1" fillId="0" borderId="0" xfId="0" applyNumberFormat="1" applyFont="1" applyAlignment="1">
      <alignment horizontal="center"/>
    </xf>
    <xf numFmtId="164" fontId="1" fillId="3" borderId="65" xfId="0" applyNumberFormat="1" applyFont="1" applyFill="1" applyBorder="1" applyAlignment="1">
      <alignment horizontal="center"/>
    </xf>
    <xf numFmtId="164" fontId="1" fillId="4" borderId="65" xfId="0" applyNumberFormat="1" applyFont="1" applyFill="1" applyBorder="1" applyAlignment="1">
      <alignment horizontal="center"/>
    </xf>
    <xf numFmtId="2" fontId="0" fillId="4" borderId="28" xfId="0" applyNumberFormat="1" applyFill="1" applyBorder="1" applyAlignment="1">
      <alignment horizontal="center"/>
    </xf>
    <xf numFmtId="0" fontId="14" fillId="0" borderId="0" xfId="0" applyFont="1"/>
    <xf numFmtId="0" fontId="0" fillId="0" borderId="2" xfId="0" applyBorder="1" applyAlignment="1">
      <alignment wrapText="1"/>
    </xf>
    <xf numFmtId="49" fontId="0" fillId="5" borderId="1" xfId="0" applyNumberFormat="1" applyFill="1" applyBorder="1" applyAlignment="1" applyProtection="1">
      <alignment vertical="top" wrapText="1"/>
      <protection locked="0"/>
    </xf>
    <xf numFmtId="49" fontId="0" fillId="0" borderId="1" xfId="0" applyNumberFormat="1" applyBorder="1" applyAlignment="1">
      <alignment vertical="top" wrapText="1"/>
    </xf>
    <xf numFmtId="49" fontId="3" fillId="0" borderId="1" xfId="1" applyNumberFormat="1" applyBorder="1" applyAlignment="1">
      <alignment vertical="top" wrapText="1"/>
    </xf>
    <xf numFmtId="49" fontId="0" fillId="0" borderId="1" xfId="1" applyNumberFormat="1" applyFont="1" applyBorder="1" applyAlignment="1">
      <alignment vertical="top" wrapText="1"/>
    </xf>
    <xf numFmtId="49" fontId="0" fillId="0" borderId="1" xfId="0" applyNumberFormat="1" applyBorder="1"/>
    <xf numFmtId="0" fontId="0" fillId="10" borderId="0" xfId="0" applyFill="1"/>
    <xf numFmtId="0" fontId="0" fillId="10" borderId="0" xfId="0" applyFill="1" applyAlignment="1">
      <alignment horizontal="left" vertical="top"/>
    </xf>
    <xf numFmtId="0" fontId="0" fillId="10" borderId="48" xfId="0" applyFill="1" applyBorder="1" applyAlignment="1">
      <alignment horizontal="left" vertical="top" wrapText="1"/>
    </xf>
    <xf numFmtId="0" fontId="0" fillId="10" borderId="48" xfId="0" applyFill="1" applyBorder="1" applyAlignment="1">
      <alignment horizontal="left" vertical="top"/>
    </xf>
    <xf numFmtId="0" fontId="1" fillId="10" borderId="48" xfId="0" applyFont="1" applyFill="1" applyBorder="1" applyAlignment="1">
      <alignment horizontal="left" vertical="top"/>
    </xf>
    <xf numFmtId="0" fontId="0" fillId="10" borderId="0" xfId="0" applyFill="1" applyAlignment="1">
      <alignment vertical="top"/>
    </xf>
    <xf numFmtId="0" fontId="1" fillId="10" borderId="0" xfId="0" applyFont="1" applyFill="1" applyAlignment="1">
      <alignment vertical="top"/>
    </xf>
    <xf numFmtId="0" fontId="22" fillId="10" borderId="0" xfId="0" applyFont="1" applyFill="1"/>
    <xf numFmtId="49" fontId="23" fillId="10" borderId="0" xfId="0" applyNumberFormat="1" applyFont="1" applyFill="1"/>
    <xf numFmtId="49" fontId="22" fillId="10" borderId="0" xfId="0" applyNumberFormat="1" applyFont="1" applyFill="1"/>
    <xf numFmtId="49" fontId="0" fillId="10" borderId="0" xfId="0" applyNumberFormat="1" applyFill="1"/>
    <xf numFmtId="49" fontId="1" fillId="10" borderId="0" xfId="0" applyNumberFormat="1" applyFont="1" applyFill="1" applyAlignment="1">
      <alignment vertical="top"/>
    </xf>
    <xf numFmtId="49" fontId="1" fillId="10" borderId="48" xfId="0" applyNumberFormat="1" applyFont="1" applyFill="1" applyBorder="1" applyAlignment="1">
      <alignment horizontal="left" vertical="top"/>
    </xf>
    <xf numFmtId="49" fontId="0" fillId="10" borderId="48" xfId="0" applyNumberFormat="1" applyFill="1" applyBorder="1" applyAlignment="1">
      <alignment horizontal="left" vertical="top"/>
    </xf>
    <xf numFmtId="49" fontId="0" fillId="10" borderId="48" xfId="0" applyNumberFormat="1" applyFill="1" applyBorder="1" applyAlignment="1">
      <alignment horizontal="left" vertical="top" wrapText="1"/>
    </xf>
    <xf numFmtId="49" fontId="0" fillId="0" borderId="0" xfId="0" applyNumberFormat="1"/>
    <xf numFmtId="14" fontId="0" fillId="0" borderId="0" xfId="0" applyNumberFormat="1"/>
    <xf numFmtId="14" fontId="22" fillId="10" borderId="0" xfId="0" applyNumberFormat="1" applyFont="1" applyFill="1"/>
    <xf numFmtId="14" fontId="0" fillId="10" borderId="0" xfId="0" applyNumberFormat="1" applyFill="1"/>
    <xf numFmtId="14" fontId="0" fillId="10" borderId="0" xfId="0" applyNumberFormat="1" applyFill="1" applyAlignment="1">
      <alignment horizontal="left" vertical="top"/>
    </xf>
    <xf numFmtId="14" fontId="1" fillId="10" borderId="48" xfId="0" applyNumberFormat="1" applyFont="1" applyFill="1" applyBorder="1" applyAlignment="1">
      <alignment horizontal="left" vertical="top"/>
    </xf>
    <xf numFmtId="14" fontId="0" fillId="10" borderId="48" xfId="0" applyNumberFormat="1" applyFill="1" applyBorder="1" applyAlignment="1">
      <alignment horizontal="left" vertical="top"/>
    </xf>
    <xf numFmtId="14" fontId="0" fillId="10" borderId="48" xfId="0" applyNumberFormat="1" applyFill="1" applyBorder="1" applyAlignment="1">
      <alignment horizontal="left" vertical="top" wrapText="1"/>
    </xf>
    <xf numFmtId="0" fontId="8" fillId="0" borderId="13" xfId="0" applyFont="1" applyBorder="1" applyAlignment="1">
      <alignment horizontal="center"/>
    </xf>
    <xf numFmtId="0" fontId="1" fillId="4" borderId="23" xfId="0" applyFont="1" applyFill="1" applyBorder="1" applyAlignment="1">
      <alignment horizontal="left"/>
    </xf>
    <xf numFmtId="0" fontId="1" fillId="4" borderId="25" xfId="0" applyFont="1" applyFill="1" applyBorder="1" applyAlignment="1">
      <alignment horizontal="left"/>
    </xf>
    <xf numFmtId="0" fontId="1" fillId="3" borderId="24" xfId="0" applyFont="1" applyFill="1" applyBorder="1" applyAlignment="1">
      <alignment horizontal="left"/>
    </xf>
    <xf numFmtId="0" fontId="1" fillId="3" borderId="25" xfId="0" applyFont="1" applyFill="1" applyBorder="1" applyAlignment="1">
      <alignment horizontal="left"/>
    </xf>
    <xf numFmtId="2" fontId="0" fillId="0" borderId="0" xfId="0" applyNumberFormat="1" applyAlignment="1">
      <alignment horizontal="center"/>
    </xf>
    <xf numFmtId="0" fontId="0" fillId="0" borderId="0" xfId="0" applyAlignment="1">
      <alignment horizontal="left"/>
    </xf>
    <xf numFmtId="2" fontId="4" fillId="6" borderId="42" xfId="0" applyNumberFormat="1" applyFont="1" applyFill="1" applyBorder="1" applyAlignment="1">
      <alignment horizontal="center"/>
    </xf>
    <xf numFmtId="2" fontId="4" fillId="4" borderId="42" xfId="0" applyNumberFormat="1" applyFont="1" applyFill="1" applyBorder="1" applyAlignment="1">
      <alignment horizontal="center"/>
    </xf>
    <xf numFmtId="2" fontId="4" fillId="0" borderId="20" xfId="0" applyNumberFormat="1" applyFont="1" applyBorder="1" applyAlignment="1">
      <alignment horizontal="center"/>
    </xf>
    <xf numFmtId="0" fontId="4" fillId="0" borderId="20" xfId="0" applyFont="1" applyBorder="1" applyAlignment="1">
      <alignment horizontal="center"/>
    </xf>
    <xf numFmtId="164" fontId="4" fillId="0" borderId="20" xfId="0" applyNumberFormat="1" applyFont="1" applyBorder="1" applyAlignment="1">
      <alignment horizontal="center"/>
    </xf>
    <xf numFmtId="165" fontId="1" fillId="0" borderId="47" xfId="0" applyNumberFormat="1" applyFont="1" applyBorder="1"/>
    <xf numFmtId="0" fontId="4" fillId="4" borderId="67" xfId="0" applyFont="1" applyFill="1" applyBorder="1" applyAlignment="1">
      <alignment horizontal="center"/>
    </xf>
    <xf numFmtId="2" fontId="6" fillId="2" borderId="30" xfId="0" applyNumberFormat="1" applyFont="1" applyFill="1" applyBorder="1" applyAlignment="1">
      <alignment horizontal="right"/>
    </xf>
    <xf numFmtId="0" fontId="0" fillId="0" borderId="5" xfId="0" applyBorder="1" applyAlignment="1">
      <alignment horizontal="center"/>
    </xf>
    <xf numFmtId="0" fontId="1" fillId="7" borderId="68" xfId="0" applyFont="1" applyFill="1" applyBorder="1" applyAlignment="1" applyProtection="1">
      <alignment horizontal="center"/>
      <protection locked="0"/>
    </xf>
    <xf numFmtId="2" fontId="0" fillId="0" borderId="4" xfId="0" applyNumberFormat="1" applyBorder="1" applyAlignment="1">
      <alignment horizontal="center"/>
    </xf>
    <xf numFmtId="0" fontId="0" fillId="0" borderId="29" xfId="0" applyBorder="1" applyAlignment="1">
      <alignment horizontal="center"/>
    </xf>
    <xf numFmtId="0" fontId="0" fillId="0" borderId="69" xfId="0" applyBorder="1" applyAlignment="1">
      <alignment horizontal="center"/>
    </xf>
    <xf numFmtId="0" fontId="6" fillId="6" borderId="20" xfId="0" applyFont="1" applyFill="1" applyBorder="1" applyAlignment="1">
      <alignment horizontal="center"/>
    </xf>
    <xf numFmtId="0" fontId="6" fillId="6" borderId="21" xfId="0" applyFont="1" applyFill="1" applyBorder="1" applyAlignment="1">
      <alignment horizontal="center"/>
    </xf>
    <xf numFmtId="0" fontId="6" fillId="4" borderId="20" xfId="0" applyFont="1" applyFill="1" applyBorder="1" applyAlignment="1">
      <alignment horizontal="center"/>
    </xf>
    <xf numFmtId="0" fontId="6" fillId="4" borderId="21" xfId="0" applyFont="1" applyFill="1" applyBorder="1" applyAlignment="1">
      <alignment horizontal="center"/>
    </xf>
    <xf numFmtId="0" fontId="18" fillId="2" borderId="4" xfId="0" applyFont="1" applyFill="1" applyBorder="1" applyAlignment="1">
      <alignment horizontal="left"/>
    </xf>
    <xf numFmtId="0" fontId="18" fillId="2" borderId="14" xfId="0" applyFont="1" applyFill="1" applyBorder="1" applyAlignment="1">
      <alignment horizontal="left"/>
    </xf>
    <xf numFmtId="0" fontId="15" fillId="0" borderId="20" xfId="0" applyFont="1" applyBorder="1" applyAlignment="1">
      <alignment horizontal="center" vertical="center"/>
    </xf>
    <xf numFmtId="0" fontId="0" fillId="0" borderId="30" xfId="0" applyBorder="1" applyAlignment="1">
      <alignment horizontal="center" vertical="center"/>
    </xf>
    <xf numFmtId="0" fontId="0" fillId="5" borderId="5" xfId="0" applyFill="1" applyBorder="1" applyAlignment="1" applyProtection="1">
      <alignment horizontal="center" vertical="center"/>
      <protection locked="0"/>
    </xf>
    <xf numFmtId="0" fontId="0" fillId="0" borderId="28" xfId="0" applyBorder="1" applyAlignment="1">
      <alignment horizontal="center" vertical="center"/>
    </xf>
    <xf numFmtId="165" fontId="0" fillId="3" borderId="5" xfId="0" applyNumberFormat="1" applyFill="1" applyBorder="1" applyAlignment="1">
      <alignment horizontal="center" vertical="center"/>
    </xf>
    <xf numFmtId="2" fontId="1" fillId="3" borderId="5" xfId="0" applyNumberFormat="1" applyFont="1" applyFill="1" applyBorder="1" applyAlignment="1">
      <alignment horizontal="center" vertical="center"/>
    </xf>
    <xf numFmtId="2" fontId="1" fillId="3" borderId="62" xfId="0" applyNumberFormat="1" applyFont="1" applyFill="1" applyBorder="1" applyAlignment="1">
      <alignment horizontal="center" vertical="center"/>
    </xf>
    <xf numFmtId="0" fontId="0" fillId="0" borderId="61" xfId="0" applyBorder="1" applyAlignment="1">
      <alignment horizontal="center" vertical="center"/>
    </xf>
    <xf numFmtId="49" fontId="16" fillId="2" borderId="36" xfId="0" applyNumberFormat="1" applyFont="1" applyFill="1"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164" fontId="0" fillId="4" borderId="5" xfId="0" applyNumberFormat="1" applyFill="1" applyBorder="1" applyAlignment="1">
      <alignment horizontal="center" vertical="center"/>
    </xf>
    <xf numFmtId="165" fontId="0" fillId="4" borderId="5" xfId="0" applyNumberFormat="1" applyFill="1" applyBorder="1" applyAlignment="1">
      <alignment horizontal="center" vertical="center"/>
    </xf>
    <xf numFmtId="2" fontId="1" fillId="4" borderId="5" xfId="0" applyNumberFormat="1" applyFont="1" applyFill="1" applyBorder="1" applyAlignment="1">
      <alignment horizontal="center" vertical="center"/>
    </xf>
    <xf numFmtId="2" fontId="1" fillId="4" borderId="62" xfId="0" applyNumberFormat="1" applyFont="1" applyFill="1" applyBorder="1" applyAlignment="1">
      <alignment horizontal="center" vertical="center"/>
    </xf>
    <xf numFmtId="0" fontId="18" fillId="2" borderId="11" xfId="0" applyFont="1" applyFill="1" applyBorder="1" applyAlignment="1">
      <alignment horizontal="left"/>
    </xf>
    <xf numFmtId="0" fontId="18" fillId="2" borderId="0" xfId="0" applyFont="1" applyFill="1" applyAlignment="1">
      <alignment horizontal="left"/>
    </xf>
  </cellXfs>
  <cellStyles count="2">
    <cellStyle name="Hyperlink" xfId="1" builtinId="8"/>
    <cellStyle name="Standaard" xfId="0" builtinId="0"/>
  </cellStyles>
  <dxfs count="11">
    <dxf>
      <numFmt numFmtId="164" formatCode="0.000"/>
    </dxf>
    <dxf>
      <numFmt numFmtId="2" formatCode="0.00"/>
      <alignment horizontal="center" vertical="bottom" textRotation="0" wrapText="0" indent="0" justifyLastLine="0" shrinkToFit="0" readingOrder="0"/>
    </dxf>
    <dxf>
      <numFmt numFmtId="165" formatCode="0.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theme="1"/>
        <name val="Calibri"/>
        <family val="2"/>
        <scheme val="minor"/>
      </font>
      <numFmt numFmtId="164" formatCode="0.000"/>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border outline="0">
        <bottom style="thin">
          <color rgb="FF000000"/>
        </bottom>
      </border>
    </dxf>
    <dxf>
      <numFmt numFmtId="0" formatCode="Genera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Temperatuurverloop</a:t>
            </a:r>
            <a:r>
              <a:rPr lang="en-US" b="1" baseline="0"/>
              <a:t> </a:t>
            </a:r>
            <a:r>
              <a:rPr lang="en-US" b="1"/>
              <a:t>(T) vs </a:t>
            </a:r>
          </a:p>
          <a:p>
            <a:pPr>
              <a:defRPr/>
            </a:pPr>
            <a:r>
              <a:rPr lang="en-US" b="1"/>
              <a:t>afstand tot buiten (D)</a:t>
            </a:r>
          </a:p>
        </c:rich>
      </c:tx>
      <c:layout>
        <c:manualLayout>
          <c:xMode val="edge"/>
          <c:yMode val="edge"/>
          <c:x val="0.16945164702130761"/>
          <c:y val="3.65824654083844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20490824961535"/>
          <c:y val="0.16860433302727618"/>
          <c:w val="0.81409092451805598"/>
          <c:h val="0.65513282177307453"/>
        </c:manualLayout>
      </c:layout>
      <c:scatterChart>
        <c:scatterStyle val="lineMarker"/>
        <c:varyColors val="0"/>
        <c:ser>
          <c:idx val="1"/>
          <c:order val="0"/>
          <c:tx>
            <c:v>Voorgesteld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Rekentool!$L$4:$L$12</c:f>
              <c:numCache>
                <c:formatCode>General</c:formatCode>
                <c:ptCount val="9"/>
                <c:pt idx="0">
                  <c:v>0</c:v>
                </c:pt>
                <c:pt idx="1">
                  <c:v>0</c:v>
                </c:pt>
                <c:pt idx="2">
                  <c:v>10</c:v>
                </c:pt>
                <c:pt idx="3">
                  <c:v>20</c:v>
                </c:pt>
                <c:pt idx="4">
                  <c:v>20</c:v>
                </c:pt>
                <c:pt idx="5">
                  <c:v>32</c:v>
                </c:pt>
                <c:pt idx="6">
                  <c:v>37</c:v>
                </c:pt>
                <c:pt idx="7">
                  <c:v>38</c:v>
                </c:pt>
                <c:pt idx="8">
                  <c:v>38</c:v>
                </c:pt>
              </c:numCache>
            </c:numRef>
          </c:xVal>
          <c:yVal>
            <c:numRef>
              <c:f>Rekentool!$M$4:$M$12</c:f>
              <c:numCache>
                <c:formatCode>0.000</c:formatCode>
                <c:ptCount val="9"/>
                <c:pt idx="0">
                  <c:v>9.5</c:v>
                </c:pt>
                <c:pt idx="1">
                  <c:v>9.6919639096916104</c:v>
                </c:pt>
                <c:pt idx="2">
                  <c:v>9.8783366375475428</c:v>
                </c:pt>
                <c:pt idx="3">
                  <c:v>17.261563933378717</c:v>
                </c:pt>
                <c:pt idx="4">
                  <c:v>17.261563933378717</c:v>
                </c:pt>
                <c:pt idx="5">
                  <c:v>17.485211206805836</c:v>
                </c:pt>
                <c:pt idx="6">
                  <c:v>19.717349691592005</c:v>
                </c:pt>
                <c:pt idx="7">
                  <c:v>19.750446917400904</c:v>
                </c:pt>
                <c:pt idx="8">
                  <c:v>19.999999999999996</c:v>
                </c:pt>
              </c:numCache>
            </c:numRef>
          </c:yVal>
          <c:smooth val="0"/>
          <c:extLst>
            <c:ext xmlns:c16="http://schemas.microsoft.com/office/drawing/2014/chart" uri="{C3380CC4-5D6E-409C-BE32-E72D297353CC}">
              <c16:uniqueId val="{00000000-D934-4AA1-93E0-ABA799FA3A67}"/>
            </c:ext>
          </c:extLst>
        </c:ser>
        <c:ser>
          <c:idx val="0"/>
          <c:order val="1"/>
          <c:tx>
            <c:v>Bestaand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Rekentool!$J$4:$J$12</c:f>
              <c:numCache>
                <c:formatCode>General</c:formatCode>
                <c:ptCount val="9"/>
                <c:pt idx="0">
                  <c:v>0</c:v>
                </c:pt>
                <c:pt idx="1">
                  <c:v>0</c:v>
                </c:pt>
                <c:pt idx="2">
                  <c:v>10</c:v>
                </c:pt>
                <c:pt idx="3">
                  <c:v>10</c:v>
                </c:pt>
                <c:pt idx="4">
                  <c:v>20</c:v>
                </c:pt>
                <c:pt idx="5">
                  <c:v>32</c:v>
                </c:pt>
                <c:pt idx="6">
                  <c:v>32</c:v>
                </c:pt>
                <c:pt idx="7" formatCode="0.0">
                  <c:v>32</c:v>
                </c:pt>
                <c:pt idx="8" formatCode="0.0">
                  <c:v>32</c:v>
                </c:pt>
              </c:numCache>
            </c:numRef>
          </c:xVal>
          <c:yVal>
            <c:numRef>
              <c:f>Rekentool!$K$4:$K$12</c:f>
              <c:numCache>
                <c:formatCode>0.000</c:formatCode>
                <c:ptCount val="9"/>
                <c:pt idx="0">
                  <c:v>9.5</c:v>
                </c:pt>
                <c:pt idx="1">
                  <c:v>11.23958500884671</c:v>
                </c:pt>
                <c:pt idx="2">
                  <c:v>12.928502493163904</c:v>
                </c:pt>
                <c:pt idx="3">
                  <c:v>12.928502493163904</c:v>
                </c:pt>
                <c:pt idx="4">
                  <c:v>15.711838507318641</c:v>
                </c:pt>
                <c:pt idx="5">
                  <c:v>17.738539488499274</c:v>
                </c:pt>
                <c:pt idx="6">
                  <c:v>17.738539488499274</c:v>
                </c:pt>
                <c:pt idx="7">
                  <c:v>17.738539488499274</c:v>
                </c:pt>
                <c:pt idx="8">
                  <c:v>19.999999999999996</c:v>
                </c:pt>
              </c:numCache>
            </c:numRef>
          </c:yVal>
          <c:smooth val="0"/>
          <c:extLst>
            <c:ext xmlns:c16="http://schemas.microsoft.com/office/drawing/2014/chart" uri="{C3380CC4-5D6E-409C-BE32-E72D297353CC}">
              <c16:uniqueId val="{00000001-D934-4AA1-93E0-ABA799FA3A67}"/>
            </c:ext>
          </c:extLst>
        </c:ser>
        <c:dLbls>
          <c:showLegendKey val="0"/>
          <c:showVal val="0"/>
          <c:showCatName val="0"/>
          <c:showSerName val="0"/>
          <c:showPercent val="0"/>
          <c:showBubbleSize val="0"/>
        </c:dLbls>
        <c:axId val="103415663"/>
        <c:axId val="103421239"/>
      </c:scatterChart>
      <c:valAx>
        <c:axId val="10341566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3421239"/>
        <c:crosses val="autoZero"/>
        <c:crossBetween val="midCat"/>
      </c:valAx>
      <c:valAx>
        <c:axId val="103421239"/>
        <c:scaling>
          <c:orientation val="minMax"/>
          <c:min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341566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oneCellAnchor>
    <xdr:from>
      <xdr:col>3</xdr:col>
      <xdr:colOff>2695575</xdr:colOff>
      <xdr:row>0</xdr:row>
      <xdr:rowOff>88707</xdr:rowOff>
    </xdr:from>
    <xdr:ext cx="2115888" cy="760865"/>
    <xdr:pic>
      <xdr:nvPicPr>
        <xdr:cNvPr id="2" name="Picture 1">
          <a:extLst>
            <a:ext uri="{FF2B5EF4-FFF2-40B4-BE49-F238E27FC236}">
              <a16:creationId xmlns:a16="http://schemas.microsoft.com/office/drawing/2014/main" id="{803CA8E2-DF1D-4278-BCC6-4DCB0DE9A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88707"/>
          <a:ext cx="2115888" cy="76086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602615</xdr:colOff>
      <xdr:row>1</xdr:row>
      <xdr:rowOff>18415</xdr:rowOff>
    </xdr:from>
    <xdr:to>
      <xdr:col>11</xdr:col>
      <xdr:colOff>454026</xdr:colOff>
      <xdr:row>45</xdr:row>
      <xdr:rowOff>147955</xdr:rowOff>
    </xdr:to>
    <xdr:pic>
      <xdr:nvPicPr>
        <xdr:cNvPr id="3" name="Picture 2">
          <a:extLst>
            <a:ext uri="{FF2B5EF4-FFF2-40B4-BE49-F238E27FC236}">
              <a16:creationId xmlns:a16="http://schemas.microsoft.com/office/drawing/2014/main" id="{3875E3CA-1D62-5E42-640B-4AF99723EB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88" t="8277" r="8485" b="6232"/>
        <a:stretch/>
      </xdr:blipFill>
      <xdr:spPr>
        <a:xfrm>
          <a:off x="602615" y="315595"/>
          <a:ext cx="6557011" cy="8618220"/>
        </a:xfrm>
        <a:prstGeom prst="rect">
          <a:avLst/>
        </a:prstGeom>
      </xdr:spPr>
    </xdr:pic>
    <xdr:clientData/>
  </xdr:twoCellAnchor>
  <xdr:twoCellAnchor editAs="oneCell">
    <xdr:from>
      <xdr:col>12</xdr:col>
      <xdr:colOff>242570</xdr:colOff>
      <xdr:row>1</xdr:row>
      <xdr:rowOff>119380</xdr:rowOff>
    </xdr:from>
    <xdr:to>
      <xdr:col>23</xdr:col>
      <xdr:colOff>17780</xdr:colOff>
      <xdr:row>43</xdr:row>
      <xdr:rowOff>92075</xdr:rowOff>
    </xdr:to>
    <xdr:pic>
      <xdr:nvPicPr>
        <xdr:cNvPr id="6" name="Picture 5">
          <a:extLst>
            <a:ext uri="{FF2B5EF4-FFF2-40B4-BE49-F238E27FC236}">
              <a16:creationId xmlns:a16="http://schemas.microsoft.com/office/drawing/2014/main" id="{7D2833F2-72CE-1CCD-93EA-DE892107DF2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907" t="6779" r="8810" b="12963"/>
        <a:stretch/>
      </xdr:blipFill>
      <xdr:spPr>
        <a:xfrm>
          <a:off x="7557770" y="411480"/>
          <a:ext cx="6480810" cy="8075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32385</xdr:colOff>
      <xdr:row>1</xdr:row>
      <xdr:rowOff>19050</xdr:rowOff>
    </xdr:from>
    <xdr:to>
      <xdr:col>13</xdr:col>
      <xdr:colOff>640080</xdr:colOff>
      <xdr:row>24</xdr:row>
      <xdr:rowOff>19050</xdr:rowOff>
    </xdr:to>
    <xdr:graphicFrame macro="">
      <xdr:nvGraphicFramePr>
        <xdr:cNvPr id="2" name="Chart 1">
          <a:extLst>
            <a:ext uri="{FF2B5EF4-FFF2-40B4-BE49-F238E27FC236}">
              <a16:creationId xmlns:a16="http://schemas.microsoft.com/office/drawing/2014/main" id="{C476C703-6BC4-473F-974C-C79C7BA85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49530</xdr:colOff>
      <xdr:row>27</xdr:row>
      <xdr:rowOff>169545</xdr:rowOff>
    </xdr:from>
    <xdr:to>
      <xdr:col>13</xdr:col>
      <xdr:colOff>619125</xdr:colOff>
      <xdr:row>33</xdr:row>
      <xdr:rowOff>238701</xdr:rowOff>
    </xdr:to>
    <xdr:pic>
      <xdr:nvPicPr>
        <xdr:cNvPr id="3" name="Picture 2">
          <a:extLst>
            <a:ext uri="{FF2B5EF4-FFF2-40B4-BE49-F238E27FC236}">
              <a16:creationId xmlns:a16="http://schemas.microsoft.com/office/drawing/2014/main" id="{90DF1750-3D24-4338-8064-260B7E731D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98155" y="5484495"/>
          <a:ext cx="5313045" cy="1497906"/>
        </a:xfrm>
        <a:prstGeom prst="rect">
          <a:avLst/>
        </a:prstGeom>
        <a:ln>
          <a:noFill/>
        </a:ln>
        <a:effectLst>
          <a:outerShdw blurRad="190500" algn="tl" rotWithShape="0">
            <a:srgbClr val="000000">
              <a:alpha val="70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935355</xdr:colOff>
      <xdr:row>11</xdr:row>
      <xdr:rowOff>30480</xdr:rowOff>
    </xdr:from>
    <xdr:to>
      <xdr:col>12</xdr:col>
      <xdr:colOff>504119</xdr:colOff>
      <xdr:row>19</xdr:row>
      <xdr:rowOff>53488</xdr:rowOff>
    </xdr:to>
    <xdr:pic>
      <xdr:nvPicPr>
        <xdr:cNvPr id="3" name="Picture 2">
          <a:extLst>
            <a:ext uri="{FF2B5EF4-FFF2-40B4-BE49-F238E27FC236}">
              <a16:creationId xmlns:a16="http://schemas.microsoft.com/office/drawing/2014/main" id="{FAA1636F-E901-EE01-663B-20491118BF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1230" y="2735580"/>
          <a:ext cx="5474264" cy="1918483"/>
        </a:xfrm>
        <a:prstGeom prst="rect">
          <a:avLst/>
        </a:prstGeom>
        <a:ln>
          <a:noFill/>
        </a:ln>
        <a:effectLst>
          <a:outerShdw blurRad="190500" algn="tl" rotWithShape="0">
            <a:srgbClr val="000000">
              <a:alpha val="70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95250</xdr:colOff>
      <xdr:row>0</xdr:row>
      <xdr:rowOff>140971</xdr:rowOff>
    </xdr:from>
    <xdr:to>
      <xdr:col>13</xdr:col>
      <xdr:colOff>415290</xdr:colOff>
      <xdr:row>18</xdr:row>
      <xdr:rowOff>117649</xdr:rowOff>
    </xdr:to>
    <xdr:pic>
      <xdr:nvPicPr>
        <xdr:cNvPr id="3" name="Picture 2">
          <a:extLst>
            <a:ext uri="{FF2B5EF4-FFF2-40B4-BE49-F238E27FC236}">
              <a16:creationId xmlns:a16="http://schemas.microsoft.com/office/drawing/2014/main" id="{FB74E284-C84D-254C-0661-77E3F06024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43825" y="140971"/>
          <a:ext cx="3701415" cy="378667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calAdmin/Documents/Nassaupark%2013A/Energietransitie/isolatie/rekentool/Energie%20berekeni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
      <sheetName val="Titel met versiebeheer"/>
      <sheetName val="Jaarverbruik"/>
    </sheetNames>
    <sheetDataSet>
      <sheetData sheetId="0"/>
      <sheetData sheetId="1"/>
      <sheetData sheetId="2">
        <row r="5">
          <cell r="R5">
            <v>-539.375</v>
          </cell>
        </row>
        <row r="6">
          <cell r="R6">
            <v>62.844999999999999</v>
          </cell>
        </row>
        <row r="7">
          <cell r="R7">
            <v>6.2789999999999999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B37A5C-EDA0-4933-8039-5AFC8A853482}" name="Table2_2" displayName="Table2_2" ref="A1:C22" totalsRowShown="0">
  <autoFilter ref="A1:C22" xr:uid="{E3B37A5C-EDA0-4933-8039-5AFC8A853482}"/>
  <tableColumns count="3">
    <tableColumn id="1" xr3:uid="{05425F4E-40EA-41DD-90D0-A91663D9C198}" name="isolatiemateriaal" dataDxfId="10"/>
    <tableColumn id="2" xr3:uid="{3B027D7C-9ECE-4201-91DB-DB89CFB57C88}" name="Density"/>
    <tableColumn id="3" xr3:uid="{6C6FC40C-5C43-4BA8-8A2F-513C2A0E9B8C}" name="λ"/>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AF76AD1-8B5B-4BF4-BBCD-56A7B9B45F44}" name="Isolatie" displayName="Isolatie" ref="F2:I59" totalsRowShown="0" dataDxfId="8" headerRowBorderDxfId="9" tableBorderDxfId="7">
  <autoFilter ref="F2:I59" xr:uid="{DAF76AD1-8B5B-4BF4-BBCD-56A7B9B45F44}"/>
  <tableColumns count="4">
    <tableColumn id="1" xr3:uid="{2E0D19E7-A581-4D20-8B8B-CA7B6186D5C6}" name="isolatiemateriaal" dataDxfId="6"/>
    <tableColumn id="2" xr3:uid="{EE7298DA-C159-49BE-A74C-8DE81CEF8547}" name="Density" dataDxfId="5"/>
    <tableColumn id="3" xr3:uid="{0DFE7676-363F-4892-939D-48591E73CB23}" name="λ" dataDxfId="4"/>
    <tableColumn id="4" xr3:uid="{B5F28A58-2EF5-4B2B-9D3B-8E4AA00A96AA}" name="Dikte ber."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33FF0AB-B664-478B-80BC-16CDE828015D}" name="Glas" displayName="Glas" ref="K37:L57" totalsRowShown="0">
  <autoFilter ref="K37:L57" xr:uid="{033FF0AB-B664-478B-80BC-16CDE828015D}"/>
  <tableColumns count="2">
    <tableColumn id="1" xr3:uid="{2A828515-8FE9-4419-895F-22D1EBC0004A}" name="soort glas" dataDxfId="2"/>
    <tableColumn id="2" xr3:uid="{F8E5E771-B6AB-45DB-AAD1-B423D448D2C4}" name="U" dataDxfId="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7435D3-733A-41CE-BA2A-2DC121359038}" name="Spouw" displayName="Spouw" ref="K31:N35" totalsRowShown="0">
  <autoFilter ref="K31:N35" xr:uid="{FC7435D3-733A-41CE-BA2A-2DC121359038}"/>
  <tableColumns count="4">
    <tableColumn id="1" xr3:uid="{1E4998BF-8AB4-45F6-A7D5-6F945204B894}" name="Column1"/>
    <tableColumn id="4" xr3:uid="{3C299642-2B4E-48CF-AAFB-88B8A3AEBEFA}" name="Column12"/>
    <tableColumn id="2" xr3:uid="{6EE602FA-7DA3-404C-B7D7-E89DDA858F01}" name="Column2" dataDxfId="0"/>
    <tableColumn id="3" xr3:uid="{8A91CCEA-92C4-4EDA-82E4-275602367C2B}" name="Column3"/>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joostdevree.nl/shtmls/polyetheen.shtml" TargetMode="External"/><Relationship Id="rId18" Type="http://schemas.openxmlformats.org/officeDocument/2006/relationships/hyperlink" Target="https://www.joostdevree.nl/shtmls/kalk.shtml" TargetMode="External"/><Relationship Id="rId26" Type="http://schemas.openxmlformats.org/officeDocument/2006/relationships/hyperlink" Target="https://www.joostdevree.nl/shtmls/pur.shtml" TargetMode="External"/><Relationship Id="rId39" Type="http://schemas.openxmlformats.org/officeDocument/2006/relationships/table" Target="../tables/table2.xml"/><Relationship Id="rId21" Type="http://schemas.openxmlformats.org/officeDocument/2006/relationships/hyperlink" Target="https://www.joostdevree.nl/shtmls/veen.shtml" TargetMode="External"/><Relationship Id="rId34" Type="http://schemas.openxmlformats.org/officeDocument/2006/relationships/hyperlink" Target="https://www.joostdevree.nl/shtmls/zandsteen.shtml" TargetMode="External"/><Relationship Id="rId7" Type="http://schemas.openxmlformats.org/officeDocument/2006/relationships/hyperlink" Target="https://www.joostdevree.nl/shtmls/marmer.shtml" TargetMode="External"/><Relationship Id="rId2" Type="http://schemas.openxmlformats.org/officeDocument/2006/relationships/hyperlink" Target="https://www.joostdevree.nl/shtmls/kalkzandsteen.shtml" TargetMode="External"/><Relationship Id="rId16" Type="http://schemas.openxmlformats.org/officeDocument/2006/relationships/hyperlink" Target="https://www.joostdevree.nl/shtmls/porisosteen.shtml" TargetMode="External"/><Relationship Id="rId20" Type="http://schemas.openxmlformats.org/officeDocument/2006/relationships/hyperlink" Target="https://www.joostdevree.nl/shtmls/tufsteen.shtml" TargetMode="External"/><Relationship Id="rId29" Type="http://schemas.openxmlformats.org/officeDocument/2006/relationships/hyperlink" Target="https://www.joostdevree.nl/shtmls/riet.shtml" TargetMode="External"/><Relationship Id="rId41" Type="http://schemas.openxmlformats.org/officeDocument/2006/relationships/table" Target="../tables/table4.xml"/><Relationship Id="rId1" Type="http://schemas.openxmlformats.org/officeDocument/2006/relationships/hyperlink" Target="https://www.joostdevree.nl/shtmls/kalksteen.shtml" TargetMode="External"/><Relationship Id="rId6" Type="http://schemas.openxmlformats.org/officeDocument/2006/relationships/hyperlink" Target="https://www.joostdevree.nl/shtmls/marmer.shtml" TargetMode="External"/><Relationship Id="rId11" Type="http://schemas.openxmlformats.org/officeDocument/2006/relationships/hyperlink" Target="https://www.joostdevree.nl/shtmls/triplex.shtml" TargetMode="External"/><Relationship Id="rId24" Type="http://schemas.openxmlformats.org/officeDocument/2006/relationships/hyperlink" Target="https://nl.icynene.be/" TargetMode="External"/><Relationship Id="rId32" Type="http://schemas.openxmlformats.org/officeDocument/2006/relationships/hyperlink" Target="https://www.joostdevree.nl/shtmls/isolatie.shtml" TargetMode="External"/><Relationship Id="rId37" Type="http://schemas.openxmlformats.org/officeDocument/2006/relationships/printerSettings" Target="../printerSettings/printerSettings4.bin"/><Relationship Id="rId40" Type="http://schemas.openxmlformats.org/officeDocument/2006/relationships/table" Target="../tables/table3.xml"/><Relationship Id="rId5" Type="http://schemas.openxmlformats.org/officeDocument/2006/relationships/hyperlink" Target="https://www.joostdevree.nl/shtmls/leem.shtml" TargetMode="External"/><Relationship Id="rId15" Type="http://schemas.openxmlformats.org/officeDocument/2006/relationships/hyperlink" Target="https://www.joostdevree.nl/shtmls/pleisterlaag.shtml" TargetMode="External"/><Relationship Id="rId23" Type="http://schemas.openxmlformats.org/officeDocument/2006/relationships/hyperlink" Target="https://www.joostdevree.nl/shtmls/glaswol.shtml" TargetMode="External"/><Relationship Id="rId28" Type="http://schemas.openxmlformats.org/officeDocument/2006/relationships/hyperlink" Target="https://www.joostdevree.nl/shtmls/resol_hardschuim.shtml" TargetMode="External"/><Relationship Id="rId36" Type="http://schemas.openxmlformats.org/officeDocument/2006/relationships/hyperlink" Target="https://www.groenebouwsystemen.nl/wp-content/uploads/2019/05/gutex-thermoflex-fiche-technique2019.pdf" TargetMode="External"/><Relationship Id="rId10" Type="http://schemas.openxmlformats.org/officeDocument/2006/relationships/hyperlink" Target="https://www.joostdevree.nl/shtmls/warmtegeleidingscoefficient.shtml" TargetMode="External"/><Relationship Id="rId19" Type="http://schemas.openxmlformats.org/officeDocument/2006/relationships/hyperlink" Target="https://www.joostdevree.nl/shtmls/tufsteen.shtml" TargetMode="External"/><Relationship Id="rId31" Type="http://schemas.openxmlformats.org/officeDocument/2006/relationships/hyperlink" Target="https://www.joostdevree.nl/shtmls/stroplaat.shtml" TargetMode="External"/><Relationship Id="rId4" Type="http://schemas.openxmlformats.org/officeDocument/2006/relationships/hyperlink" Target="https://www.joostdevree.nl/shtmls/klei.shtml" TargetMode="External"/><Relationship Id="rId9" Type="http://schemas.openxmlformats.org/officeDocument/2006/relationships/hyperlink" Target="https://www.joostdevree.nl/shtmls/warmtegeleidingscoefficient.shtml" TargetMode="External"/><Relationship Id="rId14" Type="http://schemas.openxmlformats.org/officeDocument/2006/relationships/hyperlink" Target="https://www.joostdevree.nl/shtmls/pleisterlaag.shtml" TargetMode="External"/><Relationship Id="rId22" Type="http://schemas.openxmlformats.org/officeDocument/2006/relationships/hyperlink" Target="https://www.joostdevree.nl/shtmls/vloerverwarming.shtml" TargetMode="External"/><Relationship Id="rId27" Type="http://schemas.openxmlformats.org/officeDocument/2006/relationships/hyperlink" Target="https://www.recticelinsulation.com/nl/" TargetMode="External"/><Relationship Id="rId30" Type="http://schemas.openxmlformats.org/officeDocument/2006/relationships/hyperlink" Target="https://www.joostdevree.nl/shtmls/steenwol.shtml" TargetMode="External"/><Relationship Id="rId35" Type="http://schemas.openxmlformats.org/officeDocument/2006/relationships/hyperlink" Target="https://www.joostdevree.nl/shtmls/zandsteen.shtml" TargetMode="External"/><Relationship Id="rId8" Type="http://schemas.openxmlformats.org/officeDocument/2006/relationships/hyperlink" Target="https://www.joostdevree.nl/shtmls/mergel.shtml" TargetMode="External"/><Relationship Id="rId3" Type="http://schemas.openxmlformats.org/officeDocument/2006/relationships/hyperlink" Target="https://www.joostdevree.nl/shtmls/klei.shtml" TargetMode="External"/><Relationship Id="rId12" Type="http://schemas.openxmlformats.org/officeDocument/2006/relationships/hyperlink" Target="https://www.joostdevree.nl/shtmls/osb.shtml" TargetMode="External"/><Relationship Id="rId17" Type="http://schemas.openxmlformats.org/officeDocument/2006/relationships/hyperlink" Target="https://www.joostdevree.nl/shtmls/gips.shtml" TargetMode="External"/><Relationship Id="rId25" Type="http://schemas.openxmlformats.org/officeDocument/2006/relationships/hyperlink" Target="https://nl.icynene.be/" TargetMode="External"/><Relationship Id="rId33" Type="http://schemas.openxmlformats.org/officeDocument/2006/relationships/hyperlink" Target="https://www.joostdevree.nl/shtmls/warmtegeleidingscoefficient.shtml" TargetMode="External"/><Relationship Id="rId38"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BC208-4283-49A6-8865-782DEF407C8A}">
  <dimension ref="A1:C22"/>
  <sheetViews>
    <sheetView workbookViewId="0">
      <selection activeCell="A26" sqref="A26"/>
    </sheetView>
  </sheetViews>
  <sheetFormatPr defaultRowHeight="15" x14ac:dyDescent="0.25"/>
  <cols>
    <col min="1" max="1" width="21.28515625" bestFit="1" customWidth="1"/>
    <col min="2" max="2" width="9.42578125" bestFit="1" customWidth="1"/>
    <col min="3" max="3" width="6" bestFit="1" customWidth="1"/>
  </cols>
  <sheetData>
    <row r="1" spans="1:3" x14ac:dyDescent="0.25">
      <c r="A1" t="s">
        <v>86</v>
      </c>
      <c r="B1" t="s">
        <v>61</v>
      </c>
      <c r="C1" t="s">
        <v>60</v>
      </c>
    </row>
    <row r="2" spans="1:3" x14ac:dyDescent="0.25">
      <c r="A2" t="s">
        <v>90</v>
      </c>
      <c r="B2">
        <v>0</v>
      </c>
      <c r="C2">
        <v>1000</v>
      </c>
    </row>
    <row r="3" spans="1:3" x14ac:dyDescent="0.25">
      <c r="A3" t="s">
        <v>87</v>
      </c>
      <c r="B3">
        <v>45</v>
      </c>
      <c r="C3">
        <v>3.7999999999999999E-2</v>
      </c>
    </row>
    <row r="4" spans="1:3" x14ac:dyDescent="0.25">
      <c r="A4" t="s">
        <v>63</v>
      </c>
      <c r="B4">
        <v>500</v>
      </c>
      <c r="C4">
        <v>7.0000000000000007E-2</v>
      </c>
    </row>
    <row r="5" spans="1:3" x14ac:dyDescent="0.25">
      <c r="A5" t="s">
        <v>3</v>
      </c>
      <c r="B5">
        <v>35</v>
      </c>
      <c r="C5">
        <v>3.5999999999999997E-2</v>
      </c>
    </row>
    <row r="6" spans="1:3" x14ac:dyDescent="0.25">
      <c r="A6" t="s">
        <v>69</v>
      </c>
      <c r="B6">
        <v>220</v>
      </c>
      <c r="C6">
        <v>4.2999999999999997E-2</v>
      </c>
    </row>
    <row r="7" spans="1:3" x14ac:dyDescent="0.25">
      <c r="A7" t="s">
        <v>5</v>
      </c>
      <c r="B7">
        <v>55</v>
      </c>
      <c r="C7">
        <v>3.7999999999999999E-2</v>
      </c>
    </row>
    <row r="8" spans="1:3" x14ac:dyDescent="0.25">
      <c r="A8" t="s">
        <v>73</v>
      </c>
      <c r="B8">
        <v>40</v>
      </c>
      <c r="C8">
        <v>3.6999999999999998E-2</v>
      </c>
    </row>
    <row r="9" spans="1:3" x14ac:dyDescent="0.25">
      <c r="A9" t="s">
        <v>74</v>
      </c>
      <c r="B9">
        <v>40</v>
      </c>
      <c r="C9">
        <v>2.7E-2</v>
      </c>
    </row>
    <row r="10" spans="1:3" x14ac:dyDescent="0.25">
      <c r="A10" t="s">
        <v>12</v>
      </c>
      <c r="C10">
        <v>3.4000000000000002E-2</v>
      </c>
    </row>
    <row r="11" spans="1:3" x14ac:dyDescent="0.25">
      <c r="A11" t="s">
        <v>13</v>
      </c>
      <c r="C11">
        <v>0.04</v>
      </c>
    </row>
    <row r="12" spans="1:3" x14ac:dyDescent="0.25">
      <c r="A12" t="s">
        <v>78</v>
      </c>
      <c r="C12">
        <v>3.7999999999999999E-2</v>
      </c>
    </row>
    <row r="13" spans="1:3" x14ac:dyDescent="0.25">
      <c r="A13" t="s">
        <v>14</v>
      </c>
      <c r="C13">
        <v>4.2999999999999997E-2</v>
      </c>
    </row>
    <row r="14" spans="1:3" x14ac:dyDescent="0.25">
      <c r="A14" t="s">
        <v>81</v>
      </c>
      <c r="B14">
        <v>150</v>
      </c>
      <c r="C14">
        <v>4.4999999999999998E-2</v>
      </c>
    </row>
    <row r="15" spans="1:3" x14ac:dyDescent="0.25">
      <c r="A15" t="s">
        <v>16</v>
      </c>
      <c r="C15">
        <v>0.14000000000000001</v>
      </c>
    </row>
    <row r="16" spans="1:3" x14ac:dyDescent="0.25">
      <c r="A16" t="s">
        <v>17</v>
      </c>
      <c r="B16">
        <v>1.3</v>
      </c>
      <c r="C16">
        <v>2.5000000000000001E-2</v>
      </c>
    </row>
    <row r="17" spans="1:3" x14ac:dyDescent="0.25">
      <c r="A17" t="s">
        <v>21</v>
      </c>
      <c r="B17">
        <v>950</v>
      </c>
      <c r="C17">
        <v>0.18</v>
      </c>
    </row>
    <row r="18" spans="1:3" x14ac:dyDescent="0.25">
      <c r="A18" t="s">
        <v>100</v>
      </c>
      <c r="B18">
        <v>25</v>
      </c>
      <c r="C18">
        <v>3.7999999999999999E-2</v>
      </c>
    </row>
    <row r="19" spans="1:3" x14ac:dyDescent="0.25">
      <c r="A19" t="s">
        <v>101</v>
      </c>
      <c r="B19">
        <v>15</v>
      </c>
      <c r="C19">
        <v>0.04</v>
      </c>
    </row>
    <row r="20" spans="1:3" x14ac:dyDescent="0.25">
      <c r="A20" t="s">
        <v>102</v>
      </c>
      <c r="B20">
        <v>38</v>
      </c>
      <c r="C20">
        <v>2.5999999999999999E-2</v>
      </c>
    </row>
    <row r="21" spans="1:3" x14ac:dyDescent="0.25">
      <c r="A21" t="s">
        <v>103</v>
      </c>
      <c r="B21">
        <v>33</v>
      </c>
      <c r="C21">
        <v>3.5000000000000003E-2</v>
      </c>
    </row>
    <row r="22" spans="1:3" x14ac:dyDescent="0.25">
      <c r="A22" t="s">
        <v>104</v>
      </c>
      <c r="C22">
        <v>2.1999999999999999E-2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FA7AD-86B8-4C46-986D-4716D9FAB028}">
  <dimension ref="A1:E15"/>
  <sheetViews>
    <sheetView workbookViewId="0">
      <selection activeCell="D9" sqref="D9"/>
    </sheetView>
  </sheetViews>
  <sheetFormatPr defaultRowHeight="15" x14ac:dyDescent="0.25"/>
  <cols>
    <col min="1" max="1" width="9.140625" style="258"/>
    <col min="2" max="2" width="12.140625" customWidth="1"/>
    <col min="3" max="3" width="11.5703125" customWidth="1"/>
    <col min="4" max="4" width="63.5703125" customWidth="1"/>
    <col min="5" max="5" width="12" style="259" customWidth="1"/>
  </cols>
  <sheetData>
    <row r="1" spans="1:5" ht="46.5" x14ac:dyDescent="0.7">
      <c r="A1" s="251" t="s">
        <v>278</v>
      </c>
    </row>
    <row r="2" spans="1:5" ht="21" x14ac:dyDescent="0.35">
      <c r="A2" s="252" t="s">
        <v>285</v>
      </c>
      <c r="B2" s="250"/>
      <c r="C2" s="250"/>
      <c r="D2" s="250"/>
      <c r="E2" s="260"/>
    </row>
    <row r="3" spans="1:5" x14ac:dyDescent="0.25">
      <c r="A3" s="253"/>
      <c r="B3" s="243"/>
      <c r="C3" s="243"/>
      <c r="D3" s="243"/>
      <c r="E3" s="261"/>
    </row>
    <row r="4" spans="1:5" x14ac:dyDescent="0.25">
      <c r="A4" s="254" t="s">
        <v>265</v>
      </c>
      <c r="B4" s="249"/>
      <c r="C4" s="248"/>
      <c r="D4" s="244"/>
      <c r="E4" s="262"/>
    </row>
    <row r="5" spans="1:5" x14ac:dyDescent="0.25">
      <c r="A5" s="253"/>
      <c r="B5" s="243"/>
      <c r="C5" s="243"/>
      <c r="D5" s="243"/>
      <c r="E5" s="261"/>
    </row>
    <row r="6" spans="1:5" x14ac:dyDescent="0.25">
      <c r="A6" s="255" t="s">
        <v>242</v>
      </c>
      <c r="B6" s="247" t="s">
        <v>241</v>
      </c>
      <c r="C6" s="247" t="s">
        <v>240</v>
      </c>
      <c r="D6" s="247" t="s">
        <v>239</v>
      </c>
      <c r="E6" s="263" t="s">
        <v>238</v>
      </c>
    </row>
    <row r="7" spans="1:5" ht="30" x14ac:dyDescent="0.25">
      <c r="A7" s="256" t="s">
        <v>245</v>
      </c>
      <c r="B7" s="246" t="s">
        <v>243</v>
      </c>
      <c r="C7" s="246" t="s">
        <v>237</v>
      </c>
      <c r="D7" s="245" t="s">
        <v>246</v>
      </c>
      <c r="E7" s="264">
        <v>44849</v>
      </c>
    </row>
    <row r="8" spans="1:5" ht="61.5" customHeight="1" x14ac:dyDescent="0.25">
      <c r="A8" s="256" t="s">
        <v>244</v>
      </c>
      <c r="B8" s="246" t="s">
        <v>243</v>
      </c>
      <c r="C8" s="246" t="s">
        <v>237</v>
      </c>
      <c r="D8" s="245" t="s">
        <v>250</v>
      </c>
      <c r="E8" s="264">
        <v>44874</v>
      </c>
    </row>
    <row r="9" spans="1:5" ht="16.5" customHeight="1" x14ac:dyDescent="0.25">
      <c r="A9" s="257" t="s">
        <v>247</v>
      </c>
      <c r="B9" s="246" t="s">
        <v>243</v>
      </c>
      <c r="C9" s="245" t="s">
        <v>237</v>
      </c>
      <c r="D9" s="245" t="s">
        <v>249</v>
      </c>
      <c r="E9" s="265">
        <v>44883</v>
      </c>
    </row>
    <row r="10" spans="1:5" ht="18.75" customHeight="1" x14ac:dyDescent="0.25">
      <c r="A10" s="257" t="s">
        <v>248</v>
      </c>
      <c r="B10" s="246" t="s">
        <v>243</v>
      </c>
      <c r="C10" s="245" t="s">
        <v>237</v>
      </c>
      <c r="D10" s="245" t="s">
        <v>251</v>
      </c>
      <c r="E10" s="265">
        <v>44904</v>
      </c>
    </row>
    <row r="11" spans="1:5" ht="32.25" customHeight="1" x14ac:dyDescent="0.25">
      <c r="A11" s="257" t="s">
        <v>264</v>
      </c>
      <c r="B11" s="246" t="s">
        <v>243</v>
      </c>
      <c r="C11" s="245" t="s">
        <v>237</v>
      </c>
      <c r="D11" s="245" t="s">
        <v>266</v>
      </c>
      <c r="E11" s="265">
        <v>44925</v>
      </c>
    </row>
    <row r="12" spans="1:5" ht="30" x14ac:dyDescent="0.25">
      <c r="A12" s="257" t="s">
        <v>267</v>
      </c>
      <c r="B12" s="246" t="s">
        <v>243</v>
      </c>
      <c r="C12" s="245" t="s">
        <v>237</v>
      </c>
      <c r="D12" s="245" t="s">
        <v>270</v>
      </c>
      <c r="E12" s="265">
        <v>44934</v>
      </c>
    </row>
    <row r="13" spans="1:5" ht="75" x14ac:dyDescent="0.25">
      <c r="A13" s="257" t="s">
        <v>273</v>
      </c>
      <c r="B13" s="246" t="s">
        <v>243</v>
      </c>
      <c r="C13" s="245" t="s">
        <v>237</v>
      </c>
      <c r="D13" s="245" t="s">
        <v>274</v>
      </c>
      <c r="E13" s="265">
        <v>44957</v>
      </c>
    </row>
    <row r="14" spans="1:5" ht="30" x14ac:dyDescent="0.25">
      <c r="A14" s="257" t="s">
        <v>276</v>
      </c>
      <c r="B14" s="246" t="s">
        <v>243</v>
      </c>
      <c r="C14" s="245" t="s">
        <v>237</v>
      </c>
      <c r="D14" s="245" t="s">
        <v>277</v>
      </c>
      <c r="E14" s="265">
        <v>44964</v>
      </c>
    </row>
    <row r="15" spans="1:5" ht="75" x14ac:dyDescent="0.25">
      <c r="A15" s="257" t="s">
        <v>280</v>
      </c>
      <c r="B15" s="246" t="s">
        <v>243</v>
      </c>
      <c r="C15" s="245" t="s">
        <v>237</v>
      </c>
      <c r="D15" s="245" t="s">
        <v>284</v>
      </c>
      <c r="E15" s="265">
        <v>44978</v>
      </c>
    </row>
  </sheetData>
  <sheetProtection algorithmName="SHA-512" hashValue="lfvmD9KtA6FeRXezEfWHbVmcngkMvBeAki/kUoLJbCqMvfWdDmY6ToFTg4TTYELSX+ZGT39tfm/kCclKV2o3BQ==" saltValue="uoxtedJiS7AQEZBNinFkhA==" spinCount="100000" sheet="1" objects="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EAC5-6DC2-4552-B0D8-F62B5E108A78}">
  <dimension ref="M1:M2"/>
  <sheetViews>
    <sheetView showGridLines="0" showRowColHeaders="0" topLeftCell="A7" zoomScaleNormal="100" workbookViewId="0">
      <selection activeCell="AD26" sqref="AD26"/>
    </sheetView>
  </sheetViews>
  <sheetFormatPr defaultRowHeight="15" x14ac:dyDescent="0.25"/>
  <sheetData>
    <row r="1" spans="13:13" ht="23.25" x14ac:dyDescent="0.35">
      <c r="M1" s="236"/>
    </row>
    <row r="2" spans="13:13" ht="23.25" x14ac:dyDescent="0.35">
      <c r="M2" s="236"/>
    </row>
  </sheetData>
  <sheetProtection algorithmName="SHA-512" hashValue="01L5r5Z83R9k9e4qkeHbmEdsp2EvNKlm4ivu+HJudZw7xD8xOkOyq/HcIobDF9H0by1YFah/6H66INRsau3ytA==" saltValue="yaoI1jkSjLgtKtSIg3KJPg==" spinCount="100000" sheet="1" objects="1" scenarios="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A3FC-EF0E-4F4E-927E-5550AE8F3A5F}">
  <sheetPr>
    <pageSetUpPr fitToPage="1"/>
  </sheetPr>
  <dimension ref="B1:N38"/>
  <sheetViews>
    <sheetView showGridLines="0" zoomScaleNormal="100" workbookViewId="0">
      <selection activeCell="D28" sqref="D28"/>
    </sheetView>
  </sheetViews>
  <sheetFormatPr defaultRowHeight="15" x14ac:dyDescent="0.25"/>
  <cols>
    <col min="2" max="2" width="31.85546875" customWidth="1"/>
    <col min="3" max="3" width="12.140625" style="5" customWidth="1"/>
    <col min="4" max="4" width="10.28515625" style="5" customWidth="1"/>
    <col min="5" max="5" width="15" style="5" customWidth="1"/>
    <col min="6" max="6" width="32" style="5" customWidth="1"/>
    <col min="7" max="7" width="10.28515625" style="5" customWidth="1"/>
    <col min="8" max="8" width="9.7109375" style="5" customWidth="1"/>
    <col min="9" max="9" width="14.42578125" style="5" customWidth="1"/>
    <col min="10" max="10" width="9.5703125" style="5" customWidth="1"/>
    <col min="11" max="11" width="14.140625" style="5" customWidth="1"/>
    <col min="12" max="12" width="12.7109375" style="39" customWidth="1"/>
    <col min="13" max="13" width="10.5703125" customWidth="1"/>
    <col min="14" max="14" width="9.85546875" customWidth="1"/>
    <col min="16" max="16" width="10" customWidth="1"/>
    <col min="17" max="17" width="9.5703125" customWidth="1"/>
    <col min="18" max="18" width="10.140625" customWidth="1"/>
    <col min="20" max="20" width="20.7109375" customWidth="1"/>
  </cols>
  <sheetData>
    <row r="1" spans="2:14" ht="15.75" thickBot="1" x14ac:dyDescent="0.3"/>
    <row r="2" spans="2:14" ht="21.75" thickTop="1" x14ac:dyDescent="0.35">
      <c r="B2" s="86" t="s">
        <v>156</v>
      </c>
      <c r="C2" s="286" t="s">
        <v>165</v>
      </c>
      <c r="D2" s="286"/>
      <c r="E2" s="287"/>
      <c r="F2" s="82" t="s">
        <v>281</v>
      </c>
      <c r="G2" s="288" t="s">
        <v>166</v>
      </c>
      <c r="H2" s="288"/>
      <c r="I2" s="289"/>
      <c r="J2" s="41"/>
      <c r="K2" s="42"/>
      <c r="L2" s="42"/>
      <c r="M2" s="42"/>
      <c r="N2" s="66"/>
    </row>
    <row r="3" spans="2:14" x14ac:dyDescent="0.25">
      <c r="B3" s="87"/>
      <c r="C3" s="116"/>
      <c r="D3" s="117" t="s">
        <v>158</v>
      </c>
      <c r="E3" s="118" t="s">
        <v>124</v>
      </c>
      <c r="F3" s="89"/>
      <c r="G3" s="127"/>
      <c r="H3" s="125" t="s">
        <v>158</v>
      </c>
      <c r="I3" s="126" t="s">
        <v>124</v>
      </c>
      <c r="J3" s="52" t="s">
        <v>123</v>
      </c>
      <c r="K3" s="53" t="s">
        <v>168</v>
      </c>
      <c r="L3" s="58" t="s">
        <v>123</v>
      </c>
      <c r="M3" s="53" t="s">
        <v>167</v>
      </c>
      <c r="N3" s="67"/>
    </row>
    <row r="4" spans="2:14" ht="15.75" thickBot="1" x14ac:dyDescent="0.3">
      <c r="B4" s="112"/>
      <c r="C4" s="114" t="s">
        <v>185</v>
      </c>
      <c r="D4" s="114" t="s">
        <v>122</v>
      </c>
      <c r="E4" s="115" t="s">
        <v>282</v>
      </c>
      <c r="F4" s="113"/>
      <c r="G4" s="122" t="s">
        <v>185</v>
      </c>
      <c r="H4" s="122" t="s">
        <v>122</v>
      </c>
      <c r="I4" s="123" t="s">
        <v>282</v>
      </c>
      <c r="J4" s="54">
        <v>0</v>
      </c>
      <c r="K4" s="51">
        <f>T0</f>
        <v>9.5</v>
      </c>
      <c r="L4" s="55">
        <v>0</v>
      </c>
      <c r="M4" s="51">
        <f>T0</f>
        <v>9.5</v>
      </c>
      <c r="N4" s="67"/>
    </row>
    <row r="5" spans="2:14" x14ac:dyDescent="0.25">
      <c r="B5" s="87" t="s">
        <v>160</v>
      </c>
      <c r="C5" s="116">
        <f>1/R_buiten</f>
        <v>10</v>
      </c>
      <c r="D5" s="116" t="s">
        <v>161</v>
      </c>
      <c r="E5" s="133">
        <f>1/C5</f>
        <v>0.1</v>
      </c>
      <c r="F5" s="89" t="s">
        <v>160</v>
      </c>
      <c r="G5" s="124">
        <f>1/R_buiten</f>
        <v>10</v>
      </c>
      <c r="H5" s="124" t="s">
        <v>161</v>
      </c>
      <c r="I5" s="136">
        <f>1/G5</f>
        <v>0.1</v>
      </c>
      <c r="J5" s="54">
        <f>J4</f>
        <v>0</v>
      </c>
      <c r="K5" s="51">
        <f>(Tbin-T0)*E5/Rc_best+K4</f>
        <v>11.23958500884671</v>
      </c>
      <c r="L5" s="55">
        <f>L4</f>
        <v>0</v>
      </c>
      <c r="M5" s="51">
        <f>(Tbin-T0)*I5/RC_voorg+M4</f>
        <v>9.6919639096916104</v>
      </c>
      <c r="N5" s="67"/>
    </row>
    <row r="6" spans="2:14" x14ac:dyDescent="0.25">
      <c r="B6" s="87"/>
      <c r="C6" s="117"/>
      <c r="D6" s="117"/>
      <c r="E6" s="118"/>
      <c r="F6" s="89"/>
      <c r="G6" s="125"/>
      <c r="H6" s="125"/>
      <c r="I6" s="126"/>
      <c r="J6" s="56">
        <f>J4+D8</f>
        <v>10</v>
      </c>
      <c r="K6" s="51">
        <f>(Tbin-T0)*E8/Rc_best+K5</f>
        <v>12.928502493163904</v>
      </c>
      <c r="L6" s="57">
        <f>L4+H8</f>
        <v>10</v>
      </c>
      <c r="M6" s="51">
        <f>(Tbin-T0)*I8/RC_voorg+M5</f>
        <v>9.8783366375475428</v>
      </c>
      <c r="N6" s="67"/>
    </row>
    <row r="7" spans="2:14" x14ac:dyDescent="0.25">
      <c r="B7" s="87" t="s">
        <v>174</v>
      </c>
      <c r="C7" s="117"/>
      <c r="D7" s="117"/>
      <c r="E7" s="118"/>
      <c r="F7" s="89" t="s">
        <v>174</v>
      </c>
      <c r="G7" s="125"/>
      <c r="H7" s="125"/>
      <c r="I7" s="126"/>
      <c r="J7" s="56">
        <f>J6+D11</f>
        <v>10</v>
      </c>
      <c r="K7" s="51">
        <f>(Tbin-T0)*E11/Rc_best+K6</f>
        <v>12.928502493163904</v>
      </c>
      <c r="L7" s="57">
        <f>L6+H11</f>
        <v>20</v>
      </c>
      <c r="M7" s="51">
        <f>(Tbin-T0)*I11/RC_voorg+M6</f>
        <v>17.261563933378717</v>
      </c>
      <c r="N7" s="67"/>
    </row>
    <row r="8" spans="2:14" x14ac:dyDescent="0.25">
      <c r="B8" s="139" t="s">
        <v>91</v>
      </c>
      <c r="C8" s="119">
        <f>VLOOKUP(B8,Data!$B$3:$D$81,3,FALSE)</f>
        <v>1.03</v>
      </c>
      <c r="D8" s="140">
        <v>10</v>
      </c>
      <c r="E8" s="134">
        <f>1/C8*D8/100</f>
        <v>9.7087378640776698E-2</v>
      </c>
      <c r="F8" s="139" t="s">
        <v>91</v>
      </c>
      <c r="G8" s="127">
        <f>VLOOKUP(F8,Data!$B$3:$D$81,3,FALSE)</f>
        <v>1.03</v>
      </c>
      <c r="H8" s="140">
        <v>10</v>
      </c>
      <c r="I8" s="135">
        <f>1/G8*H8/100</f>
        <v>9.7087378640776698E-2</v>
      </c>
      <c r="J8" s="56">
        <f>J7+D14</f>
        <v>20</v>
      </c>
      <c r="K8" s="51">
        <f>(Tbin-T0)*E14/Rc_best+K7</f>
        <v>15.711838507318641</v>
      </c>
      <c r="L8" s="57">
        <f>L7+H14</f>
        <v>20</v>
      </c>
      <c r="M8" s="51">
        <f>(Tbin-T0)*I14/RC_voorg+M7</f>
        <v>17.261563933378717</v>
      </c>
      <c r="N8" s="67"/>
    </row>
    <row r="9" spans="2:14" x14ac:dyDescent="0.25">
      <c r="B9" s="88"/>
      <c r="C9" s="119"/>
      <c r="D9" s="119"/>
      <c r="E9" s="121"/>
      <c r="F9" s="90"/>
      <c r="G9" s="127"/>
      <c r="H9" s="127"/>
      <c r="I9" s="129"/>
      <c r="J9" s="56">
        <f>J8+D17</f>
        <v>32</v>
      </c>
      <c r="K9" s="51">
        <f>(Tbin-T0)*E17/Rc_best+K8</f>
        <v>17.738539488499274</v>
      </c>
      <c r="L9" s="57">
        <f>L8+H17</f>
        <v>32</v>
      </c>
      <c r="M9" s="51">
        <f>(Tbin-T0)*I17/RC_voorg+M8</f>
        <v>17.485211206805836</v>
      </c>
      <c r="N9" s="67"/>
    </row>
    <row r="10" spans="2:14" x14ac:dyDescent="0.25">
      <c r="B10" s="87" t="s">
        <v>93</v>
      </c>
      <c r="C10" s="117"/>
      <c r="D10" s="119"/>
      <c r="E10" s="121"/>
      <c r="F10" s="89" t="s">
        <v>93</v>
      </c>
      <c r="G10" s="125"/>
      <c r="H10" s="127"/>
      <c r="I10" s="129"/>
      <c r="J10" s="56">
        <f>J9+D20</f>
        <v>32</v>
      </c>
      <c r="K10" s="166">
        <f>(Tbin-T0)*E20/Rc_best+K9</f>
        <v>17.738539488499274</v>
      </c>
      <c r="L10" s="56">
        <f>L9+H20</f>
        <v>37</v>
      </c>
      <c r="M10" s="51">
        <f>(Tbin-T0)*I20/RC_voorg+M9</f>
        <v>19.717349691592005</v>
      </c>
      <c r="N10" s="67"/>
    </row>
    <row r="11" spans="2:14" x14ac:dyDescent="0.25">
      <c r="B11" s="139" t="s">
        <v>90</v>
      </c>
      <c r="C11" s="119">
        <f>VLOOKUP(B11,Isolatie[],3,FALSE)</f>
        <v>1000</v>
      </c>
      <c r="D11" s="140">
        <v>0</v>
      </c>
      <c r="E11" s="120">
        <f>IF(VLOOKUP(B11,Isolatie[],4,FALSE)=1,1/C11*D11/100,1/C11)</f>
        <v>0</v>
      </c>
      <c r="F11" s="139" t="s">
        <v>109</v>
      </c>
      <c r="G11" s="127">
        <f>VLOOKUP(F11,Isolatie[],3,FALSE)</f>
        <v>2.5999999999999999E-2</v>
      </c>
      <c r="H11" s="140">
        <v>10</v>
      </c>
      <c r="I11" s="135">
        <f>IF(VLOOKUP(F11,Isolatie[],4,FALSE)=1,1/G11*H11/100,1/G11)</f>
        <v>3.8461538461538458</v>
      </c>
      <c r="J11" s="39">
        <f>J10+D23</f>
        <v>32</v>
      </c>
      <c r="K11" s="51">
        <f>(Tbin-T0)*E23/Rc_best+K10</f>
        <v>17.738539488499274</v>
      </c>
      <c r="L11" s="5">
        <f>L10+H23</f>
        <v>38</v>
      </c>
      <c r="M11" s="51">
        <f>(Tbin-T0)*I23/RC_voorg+M10</f>
        <v>19.750446917400904</v>
      </c>
      <c r="N11" s="67"/>
    </row>
    <row r="12" spans="2:14" x14ac:dyDescent="0.25">
      <c r="B12" s="88"/>
      <c r="C12" s="119"/>
      <c r="D12" s="119"/>
      <c r="E12" s="121"/>
      <c r="F12" s="90"/>
      <c r="G12" s="127"/>
      <c r="H12" s="127"/>
      <c r="I12" s="129"/>
      <c r="J12" s="39">
        <f>J10+D23</f>
        <v>32</v>
      </c>
      <c r="K12" s="51">
        <f>(Tbin-T0)*E24/Rc_best+K11</f>
        <v>19.999999999999996</v>
      </c>
      <c r="L12" s="5">
        <f>L10+H23</f>
        <v>38</v>
      </c>
      <c r="M12" s="51">
        <f>(Tbin-T0)*I24/RC_voorg+M11</f>
        <v>19.999999999999996</v>
      </c>
      <c r="N12" s="67"/>
    </row>
    <row r="13" spans="2:14" x14ac:dyDescent="0.25">
      <c r="B13" s="87" t="s">
        <v>138</v>
      </c>
      <c r="C13" s="119"/>
      <c r="D13" s="119"/>
      <c r="E13" s="121"/>
      <c r="F13" s="89" t="s">
        <v>138</v>
      </c>
      <c r="G13" s="127"/>
      <c r="H13" s="127"/>
      <c r="I13" s="129"/>
      <c r="J13" s="39"/>
      <c r="K13"/>
      <c r="L13"/>
      <c r="N13" s="67"/>
    </row>
    <row r="14" spans="2:14" x14ac:dyDescent="0.25">
      <c r="B14" s="139" t="s">
        <v>182</v>
      </c>
      <c r="C14" s="119">
        <f>VLOOKUP(B14,Spouw[],3,FALSE)</f>
        <v>6.25</v>
      </c>
      <c r="D14" s="140">
        <v>10</v>
      </c>
      <c r="E14" s="134">
        <f>IF((D14=0),0,1/C14)</f>
        <v>0.16</v>
      </c>
      <c r="F14" s="139" t="s">
        <v>182</v>
      </c>
      <c r="G14" s="127">
        <f>VLOOKUP(F14,Spouw[],3,FALSE)</f>
        <v>6.25</v>
      </c>
      <c r="H14" s="140">
        <v>0</v>
      </c>
      <c r="I14" s="135">
        <f>IF((H14=0),0,1/G14)</f>
        <v>0</v>
      </c>
      <c r="J14" s="39"/>
      <c r="K14"/>
      <c r="L14"/>
      <c r="N14" s="67"/>
    </row>
    <row r="15" spans="2:14" x14ac:dyDescent="0.25">
      <c r="B15" s="88"/>
      <c r="C15" s="119"/>
      <c r="D15" s="119"/>
      <c r="E15" s="121"/>
      <c r="F15" s="90"/>
      <c r="G15" s="127"/>
      <c r="H15" s="127"/>
      <c r="I15" s="129"/>
      <c r="J15" s="17"/>
      <c r="K15"/>
      <c r="L15"/>
      <c r="N15" s="67"/>
    </row>
    <row r="16" spans="2:14" x14ac:dyDescent="0.25">
      <c r="B16" s="87" t="s">
        <v>153</v>
      </c>
      <c r="C16" s="117"/>
      <c r="D16" s="119"/>
      <c r="E16" s="121"/>
      <c r="F16" s="89" t="s">
        <v>153</v>
      </c>
      <c r="G16" s="125"/>
      <c r="H16" s="127"/>
      <c r="I16" s="129"/>
      <c r="J16" s="39"/>
      <c r="K16"/>
      <c r="L16"/>
      <c r="N16" s="67"/>
    </row>
    <row r="17" spans="2:14" x14ac:dyDescent="0.25">
      <c r="B17" s="139" t="s">
        <v>91</v>
      </c>
      <c r="C17" s="119">
        <f>VLOOKUP(B17,Data!$B$3:$D$81,3,FALSE)</f>
        <v>1.03</v>
      </c>
      <c r="D17" s="140">
        <v>12</v>
      </c>
      <c r="E17" s="134">
        <f>1/C17*D17/100</f>
        <v>0.11650485436893204</v>
      </c>
      <c r="F17" s="139" t="s">
        <v>91</v>
      </c>
      <c r="G17" s="127">
        <f>VLOOKUP(F17,Data!$B$3:$D$81,3,FALSE)</f>
        <v>1.03</v>
      </c>
      <c r="H17" s="140">
        <v>12</v>
      </c>
      <c r="I17" s="135">
        <f>1/G17*H17/100</f>
        <v>0.11650485436893204</v>
      </c>
      <c r="J17" s="39"/>
      <c r="K17"/>
      <c r="L17"/>
      <c r="N17" s="67"/>
    </row>
    <row r="18" spans="2:14" x14ac:dyDescent="0.25">
      <c r="B18" s="87"/>
      <c r="C18" s="119"/>
      <c r="D18" s="119"/>
      <c r="E18" s="120"/>
      <c r="F18" s="89"/>
      <c r="G18" s="127"/>
      <c r="H18" s="127"/>
      <c r="I18" s="128"/>
      <c r="J18" s="39"/>
      <c r="K18"/>
      <c r="L18"/>
      <c r="N18" s="67"/>
    </row>
    <row r="19" spans="2:14" x14ac:dyDescent="0.25">
      <c r="B19" s="87" t="s">
        <v>200</v>
      </c>
      <c r="C19" s="119"/>
      <c r="D19" s="119"/>
      <c r="E19" s="120"/>
      <c r="F19" s="89" t="s">
        <v>202</v>
      </c>
      <c r="G19" s="127"/>
      <c r="H19" s="127"/>
      <c r="I19" s="128"/>
      <c r="J19" s="39"/>
      <c r="K19"/>
      <c r="L19"/>
      <c r="N19" s="67"/>
    </row>
    <row r="20" spans="2:14" x14ac:dyDescent="0.25">
      <c r="B20" s="139" t="s">
        <v>90</v>
      </c>
      <c r="C20" s="119">
        <f>VLOOKUP(B20,Isolatie[],3,FALSE)</f>
        <v>1000</v>
      </c>
      <c r="D20" s="140">
        <v>0</v>
      </c>
      <c r="E20" s="120">
        <f>IF(VLOOKUP(B20,Isolatie[],4,FALSE)=1,1/C20*D20/100,1/C20)</f>
        <v>0</v>
      </c>
      <c r="F20" s="139" t="s">
        <v>69</v>
      </c>
      <c r="G20" s="127">
        <f>VLOOKUP(F20,Isolatie[],3,FALSE)</f>
        <v>4.2999999999999997E-2</v>
      </c>
      <c r="H20" s="140">
        <v>5</v>
      </c>
      <c r="I20" s="135">
        <f>IF(VLOOKUP(F20,Isolatie[],4,FALSE)=1,1/G20*H20/100,1/G20)</f>
        <v>1.1627906976744187</v>
      </c>
      <c r="J20" s="39"/>
      <c r="K20"/>
      <c r="L20"/>
      <c r="N20" s="67"/>
    </row>
    <row r="21" spans="2:14" x14ac:dyDescent="0.25">
      <c r="B21" s="87"/>
      <c r="C21" s="119"/>
      <c r="D21" s="119"/>
      <c r="E21" s="120"/>
      <c r="F21" s="89"/>
      <c r="G21" s="127"/>
      <c r="H21" s="127"/>
      <c r="I21" s="128"/>
      <c r="J21" s="39"/>
      <c r="K21"/>
      <c r="L21"/>
      <c r="N21" s="67"/>
    </row>
    <row r="22" spans="2:14" x14ac:dyDescent="0.25">
      <c r="B22" s="87" t="s">
        <v>201</v>
      </c>
      <c r="C22" s="119"/>
      <c r="D22" s="119"/>
      <c r="E22" s="120"/>
      <c r="F22" s="89" t="s">
        <v>203</v>
      </c>
      <c r="G22" s="127"/>
      <c r="H22" s="127"/>
      <c r="I22" s="128"/>
      <c r="J22" s="39"/>
      <c r="K22"/>
      <c r="L22"/>
      <c r="N22" s="67"/>
    </row>
    <row r="23" spans="2:14" x14ac:dyDescent="0.25">
      <c r="B23" s="139" t="s">
        <v>90</v>
      </c>
      <c r="C23" s="119">
        <f>VLOOKUP(B23,Data!$B$3:$D$81,3,FALSE)</f>
        <v>1000</v>
      </c>
      <c r="D23" s="140">
        <v>0</v>
      </c>
      <c r="E23" s="134">
        <f>1/C23*D23/100</f>
        <v>0</v>
      </c>
      <c r="F23" s="139" t="s">
        <v>31</v>
      </c>
      <c r="G23" s="127">
        <f>VLOOKUP(F23,Data!$B$3:$D$81,3,FALSE)</f>
        <v>0.57999999999999996</v>
      </c>
      <c r="H23" s="140">
        <v>1</v>
      </c>
      <c r="I23" s="135">
        <f>1/G23*H23/100</f>
        <v>1.7241379310344827E-2</v>
      </c>
      <c r="J23" s="39"/>
      <c r="K23"/>
      <c r="L23"/>
      <c r="N23" s="67"/>
    </row>
    <row r="24" spans="2:14" ht="15.75" thickBot="1" x14ac:dyDescent="0.3">
      <c r="B24" s="87" t="s">
        <v>162</v>
      </c>
      <c r="C24" s="273">
        <f>1/R_binnen</f>
        <v>7.6923076923076916</v>
      </c>
      <c r="D24" s="116" t="s">
        <v>161</v>
      </c>
      <c r="E24" s="133">
        <f>1/C24</f>
        <v>0.13</v>
      </c>
      <c r="F24" s="89" t="s">
        <v>162</v>
      </c>
      <c r="G24" s="274">
        <f>1/R_binnen</f>
        <v>7.6923076923076916</v>
      </c>
      <c r="H24" s="279" t="s">
        <v>161</v>
      </c>
      <c r="I24" s="136">
        <f>1/G24</f>
        <v>0.13</v>
      </c>
      <c r="J24" s="39"/>
      <c r="K24"/>
      <c r="L24"/>
      <c r="N24" s="67"/>
    </row>
    <row r="25" spans="2:14" ht="18.75" thickTop="1" x14ac:dyDescent="0.35">
      <c r="B25" s="100" t="s">
        <v>283</v>
      </c>
      <c r="C25" s="137">
        <f>SUM(E5:E24)</f>
        <v>0.60359223300970877</v>
      </c>
      <c r="D25" s="275"/>
      <c r="E25" s="276"/>
      <c r="F25" s="106" t="s">
        <v>198</v>
      </c>
      <c r="G25" s="138">
        <f>SUM(I5:I24)</f>
        <v>5.4697781561483181</v>
      </c>
      <c r="I25" s="275"/>
      <c r="J25" s="276"/>
      <c r="K25" s="277"/>
      <c r="N25" s="67"/>
    </row>
    <row r="26" spans="2:14" ht="15.75" thickBot="1" x14ac:dyDescent="0.3">
      <c r="B26" s="101" t="s">
        <v>194</v>
      </c>
      <c r="C26" s="102">
        <f>(GrdDg/Rc_best)*3600*24/1000000</f>
        <v>375.92657093775131</v>
      </c>
      <c r="D26" s="45"/>
      <c r="F26" s="107" t="s">
        <v>204</v>
      </c>
      <c r="G26" s="108">
        <f>(GrdDg/RC_voorg)*3600*24/1000000</f>
        <v>41.483649230809355</v>
      </c>
      <c r="I26" s="45"/>
      <c r="K26" s="272"/>
      <c r="N26" s="67"/>
    </row>
    <row r="27" spans="2:14" x14ac:dyDescent="0.25">
      <c r="B27" s="101" t="s">
        <v>197</v>
      </c>
      <c r="C27" s="156">
        <v>20</v>
      </c>
      <c r="D27" s="12" t="s">
        <v>218</v>
      </c>
      <c r="E27" s="61"/>
      <c r="F27" s="107" t="s">
        <v>197</v>
      </c>
      <c r="G27" s="108">
        <f>Opp</f>
        <v>20</v>
      </c>
      <c r="I27" s="45"/>
      <c r="K27" s="272"/>
      <c r="L27" s="6"/>
      <c r="M27" s="5"/>
      <c r="N27" s="47"/>
    </row>
    <row r="28" spans="2:14" ht="15.75" thickBot="1" x14ac:dyDescent="0.3">
      <c r="B28" s="101" t="s">
        <v>195</v>
      </c>
      <c r="C28" s="102">
        <f>C26*Opp</f>
        <v>7518.5314187550266</v>
      </c>
      <c r="D28" s="145">
        <v>20</v>
      </c>
      <c r="E28" s="266" t="s">
        <v>252</v>
      </c>
      <c r="F28" s="107" t="s">
        <v>195</v>
      </c>
      <c r="G28" s="108">
        <f>G26*Opp</f>
        <v>829.67298461618714</v>
      </c>
      <c r="L28" s="6"/>
      <c r="M28" s="6"/>
      <c r="N28" s="47"/>
    </row>
    <row r="29" spans="2:14" ht="15" customHeight="1" x14ac:dyDescent="0.35">
      <c r="B29" s="101" t="s">
        <v>196</v>
      </c>
      <c r="C29" s="102">
        <f>C28*1000/3600</f>
        <v>2088.4809496541739</v>
      </c>
      <c r="D29" s="131" t="s">
        <v>208</v>
      </c>
      <c r="E29" s="132"/>
      <c r="F29" s="107" t="s">
        <v>196</v>
      </c>
      <c r="G29" s="108">
        <f>G28*1000/3600</f>
        <v>230.46471794894089</v>
      </c>
      <c r="J29" s="68"/>
      <c r="K29" s="68"/>
      <c r="L29" s="5"/>
      <c r="M29" s="5"/>
      <c r="N29" s="47"/>
    </row>
    <row r="30" spans="2:14" ht="15.75" thickBot="1" x14ac:dyDescent="0.3">
      <c r="B30" s="101" t="s">
        <v>163</v>
      </c>
      <c r="C30" s="103">
        <f>C28/Data!$P$31</f>
        <v>232.36612907353805</v>
      </c>
      <c r="D30" s="130">
        <f>Data!L27</f>
        <v>2626.2309999999998</v>
      </c>
      <c r="E30" s="62"/>
      <c r="F30" s="107" t="s">
        <v>163</v>
      </c>
      <c r="G30" s="109">
        <f>G28/Data!$P$31</f>
        <v>25.6416963758696</v>
      </c>
      <c r="L30" s="18"/>
      <c r="N30" s="67"/>
    </row>
    <row r="31" spans="2:14" ht="15.75" thickBot="1" x14ac:dyDescent="0.3">
      <c r="B31" s="104" t="s">
        <v>164</v>
      </c>
      <c r="C31" s="105">
        <f>C30*Pgas</f>
        <v>697.09838722061409</v>
      </c>
      <c r="D31" s="144" t="s">
        <v>187</v>
      </c>
      <c r="E31" s="61"/>
      <c r="F31" s="110" t="s">
        <v>164</v>
      </c>
      <c r="G31" s="111">
        <f>G30*Pgas</f>
        <v>76.9250891276088</v>
      </c>
      <c r="N31" s="67"/>
    </row>
    <row r="32" spans="2:14" ht="29.25" thickBot="1" x14ac:dyDescent="0.3">
      <c r="B32" s="142" t="s">
        <v>177</v>
      </c>
      <c r="C32" s="155"/>
      <c r="D32" s="147">
        <v>0.92</v>
      </c>
      <c r="E32" s="62"/>
      <c r="N32" s="67"/>
    </row>
    <row r="33" spans="2:14" ht="21" x14ac:dyDescent="0.35">
      <c r="B33" s="96" t="s">
        <v>181</v>
      </c>
      <c r="C33" s="93">
        <f>C30-G30</f>
        <v>206.72443269766845</v>
      </c>
      <c r="D33" s="144" t="s">
        <v>170</v>
      </c>
      <c r="E33" s="281"/>
      <c r="N33" s="67"/>
    </row>
    <row r="34" spans="2:14" ht="21.75" thickBot="1" x14ac:dyDescent="0.4">
      <c r="B34" s="153" t="s">
        <v>178</v>
      </c>
      <c r="C34" s="280">
        <f>C31-G31</f>
        <v>620.17329809300531</v>
      </c>
      <c r="D34" s="282">
        <v>3</v>
      </c>
      <c r="E34" s="284"/>
      <c r="F34" s="285"/>
      <c r="G34" s="154"/>
      <c r="H34" s="65"/>
      <c r="I34" s="65"/>
      <c r="J34" s="65"/>
      <c r="K34" s="65"/>
      <c r="L34" s="97"/>
      <c r="M34" s="98"/>
      <c r="N34" s="99"/>
    </row>
    <row r="35" spans="2:14" ht="15.75" thickTop="1" x14ac:dyDescent="0.25"/>
    <row r="37" spans="2:14" x14ac:dyDescent="0.25">
      <c r="C37" s="39"/>
    </row>
    <row r="38" spans="2:14" x14ac:dyDescent="0.25">
      <c r="C38" s="39"/>
    </row>
  </sheetData>
  <sheetProtection algorithmName="SHA-512" hashValue="xY6R8G8Bc4+YIKzYRO/virl0QFMBercBEQGyg4wNx1UZWQQMHEaRLhSJGJqP6pIXIzKti2siduAwFI1pLwMP3Q==" saltValue="zzzrZU0n6Ah/8G3ktCaWTw==" spinCount="100000" sheet="1" objects="1" formatCells="0" formatColumns="0" formatRows="0" insertColumns="0" insertRows="0" insertHyperlinks="0" deleteColumns="0" deleteRows="0" sort="0" autoFilter="0" pivotTables="0"/>
  <mergeCells count="2">
    <mergeCell ref="C2:E2"/>
    <mergeCell ref="G2:I2"/>
  </mergeCells>
  <dataValidations count="2">
    <dataValidation type="decimal" allowBlank="1" showInputMessage="1" showErrorMessage="1" error="Berekening van het aantal graaddagen is alleen geldig tussen 12 C en 24 C" sqref="D28" xr:uid="{59537AD6-2A06-482A-A0E7-ADF6D6A35C9E}">
      <formula1>12</formula1>
      <formula2>24</formula2>
    </dataValidation>
    <dataValidation type="decimal" allowBlank="1" showInputMessage="1" showErrorMessage="1" error="Groter dan 100% niet toegestaan" sqref="D32" xr:uid="{340482C3-332F-422B-8C0D-7FCE44FAF706}">
      <formula1>0</formula1>
      <formula2>1</formula2>
    </dataValidation>
  </dataValidations>
  <pageMargins left="0.25" right="0.25" top="0.75" bottom="0.75" header="0.3" footer="0.3"/>
  <pageSetup paperSize="9" scale="68"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4AD05B1-E9F7-4C60-8B9C-FD7320ADD5DB}">
          <x14:formula1>
            <xm:f>Data!$K$32:$K$35</xm:f>
          </x14:formula1>
          <xm:sqref>B14 F14</xm:sqref>
        </x14:dataValidation>
        <x14:dataValidation type="list" allowBlank="1" showInputMessage="1" showErrorMessage="1" xr:uid="{52CF73A3-9D30-4B5A-BD41-A5C8186A8677}">
          <x14:formula1>
            <xm:f>Data!$B$3:$B$81</xm:f>
          </x14:formula1>
          <xm:sqref>F17 B8 B23 B17 F23 F8</xm:sqref>
        </x14:dataValidation>
        <x14:dataValidation type="list" allowBlank="1" showInputMessage="1" showErrorMessage="1" xr:uid="{0244C96A-363E-4D68-B05C-9C467482FF43}">
          <x14:formula1>
            <xm:f>Data!$F$3:$F$59</xm:f>
          </x14:formula1>
          <xm:sqref>F20 B11 B20 F11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111EA-711F-44C1-922D-A4CE032FD872}">
  <sheetPr>
    <pageSetUpPr fitToPage="1"/>
  </sheetPr>
  <dimension ref="B1:T32"/>
  <sheetViews>
    <sheetView showGridLines="0" tabSelected="1" zoomScaleNormal="100" workbookViewId="0">
      <selection activeCell="H9" sqref="H9"/>
    </sheetView>
  </sheetViews>
  <sheetFormatPr defaultRowHeight="15" x14ac:dyDescent="0.25"/>
  <cols>
    <col min="2" max="2" width="20.5703125" customWidth="1"/>
    <col min="3" max="3" width="13.42578125" style="5" customWidth="1"/>
    <col min="4" max="4" width="11.7109375" style="5" customWidth="1"/>
    <col min="5" max="5" width="11.28515625" style="5" customWidth="1"/>
    <col min="6" max="6" width="10.28515625" style="5" customWidth="1"/>
    <col min="7" max="7" width="20.7109375" style="5" customWidth="1"/>
    <col min="8" max="8" width="18.5703125" style="5" customWidth="1"/>
    <col min="9" max="9" width="14.140625" style="5" customWidth="1"/>
    <col min="10" max="10" width="11.140625" style="5" customWidth="1"/>
    <col min="11" max="11" width="11.28515625" style="5" customWidth="1"/>
    <col min="12" max="12" width="12.7109375" style="39" customWidth="1"/>
    <col min="13" max="13" width="22.5703125" customWidth="1"/>
    <col min="14" max="14" width="9.85546875" customWidth="1"/>
    <col min="16" max="16" width="10" customWidth="1"/>
    <col min="17" max="17" width="9.5703125" customWidth="1"/>
    <col min="18" max="18" width="10.140625" customWidth="1"/>
    <col min="20" max="20" width="20.7109375" customWidth="1"/>
  </cols>
  <sheetData>
    <row r="1" spans="2:20" ht="15.75" thickBot="1" x14ac:dyDescent="0.3">
      <c r="B1" s="6"/>
      <c r="C1" s="50"/>
      <c r="D1" s="16"/>
      <c r="E1" s="6"/>
    </row>
    <row r="2" spans="2:20" ht="15.75" thickTop="1" x14ac:dyDescent="0.25">
      <c r="B2" s="73"/>
      <c r="C2" s="40"/>
      <c r="D2" s="40"/>
      <c r="E2" s="40"/>
      <c r="F2" s="292" t="s">
        <v>169</v>
      </c>
      <c r="G2" s="292"/>
      <c r="H2" s="292"/>
      <c r="I2" s="40"/>
      <c r="J2" s="40"/>
      <c r="K2" s="40"/>
      <c r="L2" s="40"/>
      <c r="M2" s="69"/>
      <c r="N2" s="39"/>
    </row>
    <row r="3" spans="2:20" ht="15.75" thickBot="1" x14ac:dyDescent="0.3">
      <c r="B3" s="64"/>
      <c r="C3" s="65"/>
      <c r="D3" s="65"/>
      <c r="E3" s="65"/>
      <c r="F3" s="293"/>
      <c r="G3" s="293"/>
      <c r="H3" s="293"/>
      <c r="I3" s="65"/>
      <c r="J3" s="65"/>
      <c r="K3" s="65"/>
      <c r="L3" s="65"/>
      <c r="M3" s="74"/>
      <c r="N3" s="6"/>
      <c r="O3" s="5"/>
      <c r="P3" s="6"/>
      <c r="Q3" s="6"/>
      <c r="T3" s="43"/>
    </row>
    <row r="4" spans="2:20" ht="22.5" thickTop="1" thickBot="1" x14ac:dyDescent="0.4">
      <c r="B4" s="81"/>
      <c r="C4" s="167"/>
      <c r="D4" s="181" t="s">
        <v>165</v>
      </c>
      <c r="E4" s="168"/>
      <c r="F4" s="85"/>
      <c r="G4" s="75"/>
      <c r="H4" s="174"/>
      <c r="I4" s="175"/>
      <c r="J4" s="180" t="s">
        <v>166</v>
      </c>
      <c r="K4" s="178"/>
      <c r="L4" s="176"/>
      <c r="M4" s="177"/>
      <c r="N4" s="49"/>
      <c r="O4" s="70"/>
      <c r="P4" s="63"/>
      <c r="Q4" s="44"/>
    </row>
    <row r="5" spans="2:20" ht="46.5" x14ac:dyDescent="0.35">
      <c r="B5" s="76"/>
      <c r="C5" s="169" t="s">
        <v>224</v>
      </c>
      <c r="D5" s="169" t="s">
        <v>209</v>
      </c>
      <c r="E5" s="84" t="s">
        <v>125</v>
      </c>
      <c r="F5" s="77" t="s">
        <v>128</v>
      </c>
      <c r="G5" s="269" t="s">
        <v>268</v>
      </c>
      <c r="H5" s="173"/>
      <c r="I5" s="179" t="s">
        <v>224</v>
      </c>
      <c r="J5" s="179" t="s">
        <v>209</v>
      </c>
      <c r="K5" s="83" t="s">
        <v>125</v>
      </c>
      <c r="L5" s="79" t="s">
        <v>128</v>
      </c>
      <c r="M5" s="267" t="s">
        <v>268</v>
      </c>
      <c r="N5" s="71"/>
      <c r="O5" s="70"/>
      <c r="P5" s="45"/>
      <c r="Q5" s="70"/>
    </row>
    <row r="6" spans="2:20" ht="15.75" thickBot="1" x14ac:dyDescent="0.3">
      <c r="B6" s="170" t="s">
        <v>131</v>
      </c>
      <c r="C6" s="171" t="s">
        <v>220</v>
      </c>
      <c r="D6" s="171" t="s">
        <v>210</v>
      </c>
      <c r="E6" s="171" t="s">
        <v>127</v>
      </c>
      <c r="F6" s="172" t="s">
        <v>129</v>
      </c>
      <c r="G6" s="270" t="s">
        <v>129</v>
      </c>
      <c r="H6" s="182" t="s">
        <v>131</v>
      </c>
      <c r="I6" s="183" t="s">
        <v>223</v>
      </c>
      <c r="J6" s="183" t="s">
        <v>212</v>
      </c>
      <c r="K6" s="183" t="s">
        <v>127</v>
      </c>
      <c r="L6" s="184" t="s">
        <v>129</v>
      </c>
      <c r="M6" s="268" t="s">
        <v>129</v>
      </c>
      <c r="N6" s="71"/>
      <c r="O6" s="70"/>
      <c r="P6" s="45"/>
      <c r="Q6" s="70"/>
    </row>
    <row r="7" spans="2:20" ht="15.75" thickBot="1" x14ac:dyDescent="0.3">
      <c r="B7" s="223" t="s">
        <v>132</v>
      </c>
      <c r="C7" s="224">
        <f>VLOOKUP(B7,Glas[],2,FALSE)</f>
        <v>5.9</v>
      </c>
      <c r="D7" s="294">
        <v>10</v>
      </c>
      <c r="E7" s="296">
        <f>$C$13*C10*D7*3600*24/1000000</f>
        <v>13231.345271397509</v>
      </c>
      <c r="F7" s="297">
        <f>E7/Data!$P$31</f>
        <v>408.92513602865301</v>
      </c>
      <c r="G7" s="298">
        <f>F7*Data!$P$33</f>
        <v>1226.775408085959</v>
      </c>
      <c r="H7" s="141" t="s">
        <v>132</v>
      </c>
      <c r="I7" s="235">
        <f>VLOOKUP(H7,Glas[],2,FALSE)</f>
        <v>5.9</v>
      </c>
      <c r="J7" s="303">
        <f>D7</f>
        <v>10</v>
      </c>
      <c r="K7" s="304">
        <f>$C$13*I10*J7*3600*24/1000000</f>
        <v>6124.4682490507339</v>
      </c>
      <c r="L7" s="305">
        <f>K7/Data!$P$31</f>
        <v>189.28150996559364</v>
      </c>
      <c r="M7" s="306">
        <f>L7*Data!$P$33</f>
        <v>567.84452989678095</v>
      </c>
      <c r="N7" s="71"/>
      <c r="O7" s="70"/>
      <c r="P7" s="45"/>
      <c r="Q7" s="70"/>
    </row>
    <row r="8" spans="2:20" ht="15.75" thickBot="1" x14ac:dyDescent="0.3">
      <c r="B8" s="223" t="s">
        <v>253</v>
      </c>
      <c r="C8" s="224">
        <f>VLOOKUP(B8,Glas[],2,FALSE)</f>
        <v>1000</v>
      </c>
      <c r="D8" s="295"/>
      <c r="E8" s="295"/>
      <c r="F8" s="295"/>
      <c r="G8" s="299"/>
      <c r="H8" s="141" t="s">
        <v>256</v>
      </c>
      <c r="I8" s="235">
        <f>VLOOKUP(H8,Glas[],2,FALSE)</f>
        <v>5</v>
      </c>
      <c r="J8" s="295"/>
      <c r="K8" s="295"/>
      <c r="L8" s="295"/>
      <c r="M8" s="299"/>
      <c r="N8" s="72"/>
      <c r="O8" s="70"/>
      <c r="P8" s="5"/>
      <c r="Q8" s="70"/>
    </row>
    <row r="9" spans="2:20" ht="16.5" thickTop="1" thickBot="1" x14ac:dyDescent="0.3">
      <c r="B9" s="141" t="s">
        <v>253</v>
      </c>
      <c r="C9" s="78">
        <f>VLOOKUP(B9,Glas[],2,FALSE)</f>
        <v>1000</v>
      </c>
      <c r="D9" s="225"/>
      <c r="E9" s="41"/>
      <c r="F9" s="226"/>
      <c r="G9" s="227"/>
      <c r="H9" s="141" t="s">
        <v>253</v>
      </c>
      <c r="I9" s="80">
        <f>VLOOKUP(H9,Glas[],2,FALSE)</f>
        <v>1000</v>
      </c>
      <c r="J9" s="228"/>
      <c r="K9" s="41"/>
      <c r="L9" s="226"/>
      <c r="M9" s="227"/>
      <c r="N9" s="5"/>
      <c r="O9" s="70"/>
      <c r="P9" s="5"/>
      <c r="Q9" s="70"/>
    </row>
    <row r="10" spans="2:20" ht="16.5" thickTop="1" thickBot="1" x14ac:dyDescent="0.3">
      <c r="B10" s="221" t="s">
        <v>233</v>
      </c>
      <c r="C10" s="233">
        <f>1/(1/C7+1/C8+1/C9)</f>
        <v>5.8311919351650525</v>
      </c>
      <c r="H10" s="222" t="s">
        <v>233</v>
      </c>
      <c r="I10" s="234">
        <f>1/(1/I7+1/I8+1/I9)</f>
        <v>2.699117068484377</v>
      </c>
      <c r="L10" s="5"/>
      <c r="M10" s="185"/>
      <c r="N10" s="5"/>
      <c r="O10" s="70"/>
    </row>
    <row r="11" spans="2:20" ht="16.5" thickTop="1" thickBot="1" x14ac:dyDescent="0.3">
      <c r="B11" s="73"/>
      <c r="C11" s="40"/>
      <c r="D11" s="186" t="s">
        <v>221</v>
      </c>
      <c r="E11" s="95"/>
      <c r="H11" s="40"/>
      <c r="I11" s="40"/>
      <c r="L11" s="5"/>
      <c r="M11" s="185"/>
      <c r="N11" s="5"/>
      <c r="O11" s="70"/>
    </row>
    <row r="12" spans="2:20" ht="15.75" thickTop="1" x14ac:dyDescent="0.25">
      <c r="B12" s="59" t="s">
        <v>199</v>
      </c>
      <c r="C12" s="218">
        <f>Tbin</f>
        <v>20</v>
      </c>
      <c r="D12" s="187" t="s">
        <v>222</v>
      </c>
      <c r="E12" s="95"/>
      <c r="L12" s="5"/>
      <c r="M12" s="185"/>
      <c r="N12" s="5"/>
      <c r="O12" s="70"/>
    </row>
    <row r="13" spans="2:20" x14ac:dyDescent="0.25">
      <c r="B13" s="49" t="s">
        <v>211</v>
      </c>
      <c r="C13" s="219">
        <f>Data!L27</f>
        <v>2626.2309999999998</v>
      </c>
      <c r="L13" s="5"/>
      <c r="M13" s="47"/>
      <c r="N13" s="70"/>
    </row>
    <row r="14" spans="2:20" ht="15.75" thickBot="1" x14ac:dyDescent="0.3">
      <c r="B14" s="60" t="s">
        <v>170</v>
      </c>
      <c r="C14" s="220">
        <f>Data!P33</f>
        <v>3</v>
      </c>
      <c r="E14" s="229"/>
      <c r="F14" s="70"/>
      <c r="G14" s="230"/>
      <c r="J14" s="232"/>
      <c r="K14" s="229"/>
      <c r="L14" s="70"/>
      <c r="M14" s="185"/>
      <c r="N14" s="39"/>
      <c r="O14" s="231"/>
      <c r="P14" s="232"/>
    </row>
    <row r="15" spans="2:20" ht="16.5" thickTop="1" thickBot="1" x14ac:dyDescent="0.3">
      <c r="B15" s="46"/>
      <c r="H15" s="39"/>
      <c r="I15" s="231"/>
      <c r="M15" s="67"/>
    </row>
    <row r="16" spans="2:20" ht="28.5" x14ac:dyDescent="0.45">
      <c r="B16" s="300" t="s">
        <v>180</v>
      </c>
      <c r="C16" s="301"/>
      <c r="D16" s="302"/>
      <c r="M16" s="67"/>
    </row>
    <row r="17" spans="2:14" ht="21" x14ac:dyDescent="0.35">
      <c r="B17" s="307" t="s">
        <v>179</v>
      </c>
      <c r="C17" s="308"/>
      <c r="D17" s="93">
        <f>F7-L7</f>
        <v>219.64362606305937</v>
      </c>
      <c r="M17" s="67"/>
    </row>
    <row r="18" spans="2:14" ht="21.75" thickBot="1" x14ac:dyDescent="0.4">
      <c r="B18" s="290" t="s">
        <v>269</v>
      </c>
      <c r="C18" s="291"/>
      <c r="D18" s="94">
        <f>G7-M7</f>
        <v>658.93087818917809</v>
      </c>
      <c r="L18" s="17"/>
      <c r="M18" s="67"/>
    </row>
    <row r="19" spans="2:14" x14ac:dyDescent="0.25">
      <c r="B19" s="46"/>
      <c r="L19" s="17"/>
      <c r="M19" s="67"/>
    </row>
    <row r="20" spans="2:14" ht="15.75" thickBot="1" x14ac:dyDescent="0.3">
      <c r="B20" s="64"/>
      <c r="C20" s="65"/>
      <c r="D20" s="65"/>
      <c r="E20" s="65"/>
      <c r="F20" s="65"/>
      <c r="G20" s="65"/>
      <c r="H20" s="65"/>
      <c r="I20" s="65"/>
      <c r="J20" s="65"/>
      <c r="K20" s="65"/>
      <c r="L20" s="97"/>
      <c r="M20" s="99"/>
    </row>
    <row r="21" spans="2:14" ht="15.75" thickTop="1" x14ac:dyDescent="0.25"/>
    <row r="25" spans="2:14" x14ac:dyDescent="0.25">
      <c r="L25" s="48"/>
    </row>
    <row r="26" spans="2:14" x14ac:dyDescent="0.25">
      <c r="L26" s="7"/>
    </row>
    <row r="27" spans="2:14" x14ac:dyDescent="0.25">
      <c r="L27" s="7"/>
    </row>
    <row r="28" spans="2:14" x14ac:dyDescent="0.25">
      <c r="L28" s="7"/>
    </row>
    <row r="29" spans="2:14" x14ac:dyDescent="0.25">
      <c r="L29" s="18"/>
    </row>
    <row r="30" spans="2:14" x14ac:dyDescent="0.25">
      <c r="L30" s="18"/>
    </row>
    <row r="32" spans="2:14" x14ac:dyDescent="0.25">
      <c r="N32" s="6"/>
    </row>
  </sheetData>
  <sheetProtection algorithmName="SHA-512" hashValue="KlGSFPj9sQ9rOdLM9zI1u3ORy5duemG1Ijx3dsD0Fe5qTmTcusfnIqrCwDvK6fOzburIZR1mxRAlgmo+Ygl7Qw==" saltValue="zWyudDujPzZR9Gzf1lwOAg==" spinCount="100000" sheet="1" objects="1" scenarios="1"/>
  <mergeCells count="12">
    <mergeCell ref="J7:J8"/>
    <mergeCell ref="K7:K8"/>
    <mergeCell ref="L7:L8"/>
    <mergeCell ref="M7:M8"/>
    <mergeCell ref="B17:C17"/>
    <mergeCell ref="B18:C18"/>
    <mergeCell ref="F2:H3"/>
    <mergeCell ref="D7:D8"/>
    <mergeCell ref="E7:E8"/>
    <mergeCell ref="F7:F8"/>
    <mergeCell ref="G7:G8"/>
    <mergeCell ref="B16:D16"/>
  </mergeCells>
  <pageMargins left="0.7" right="0.7" top="0.75" bottom="0.75" header="0.3" footer="0.3"/>
  <pageSetup paperSize="9" scale="6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4A439D0-E7F9-4C01-8F7E-BC6BD146F14B}">
          <x14:formula1>
            <xm:f>Data!$K$38:$K$57</xm:f>
          </x14:formula1>
          <xm:sqref>B7:B9 H7:H9</xm:sqref>
        </x14:dataValidation>
        <x14:dataValidation type="list" allowBlank="1" showInputMessage="1" showErrorMessage="1" xr:uid="{BD237091-0894-4FFF-83FA-8D781F183BF9}">
          <x14:formula1>
            <xm:f>Data!$K$39:$K$54</xm:f>
          </x14:formula1>
          <xm:sqref>K14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C405C-1031-46BD-91F7-DD7B6811E757}">
  <sheetPr>
    <pageSetUpPr fitToPage="1"/>
  </sheetPr>
  <dimension ref="B1:U81"/>
  <sheetViews>
    <sheetView showGridLines="0" topLeftCell="E1" zoomScaleNormal="100" workbookViewId="0">
      <selection activeCell="L25" sqref="L25"/>
    </sheetView>
  </sheetViews>
  <sheetFormatPr defaultRowHeight="15" x14ac:dyDescent="0.25"/>
  <cols>
    <col min="2" max="2" width="29.5703125" customWidth="1"/>
    <col min="6" max="6" width="21.42578125" customWidth="1"/>
    <col min="8" max="8" width="8.85546875" style="4"/>
    <col min="11" max="11" width="19.140625" customWidth="1"/>
    <col min="12" max="12" width="13.28515625" style="7" customWidth="1"/>
  </cols>
  <sheetData>
    <row r="1" spans="2:21" ht="15.75" thickBot="1" x14ac:dyDescent="0.3"/>
    <row r="2" spans="2:21" ht="21.75" thickBot="1" x14ac:dyDescent="0.4">
      <c r="B2" s="188" t="s">
        <v>62</v>
      </c>
      <c r="C2" s="189" t="s">
        <v>61</v>
      </c>
      <c r="D2" s="190" t="s">
        <v>60</v>
      </c>
      <c r="F2" s="237" t="s">
        <v>86</v>
      </c>
      <c r="G2" s="164" t="s">
        <v>61</v>
      </c>
      <c r="H2" s="165" t="s">
        <v>60</v>
      </c>
      <c r="I2" s="30" t="s">
        <v>155</v>
      </c>
      <c r="K2" s="16"/>
      <c r="O2" s="19" t="s">
        <v>189</v>
      </c>
      <c r="P2" s="24"/>
      <c r="Q2" s="24"/>
      <c r="R2" s="24"/>
      <c r="S2" s="24"/>
      <c r="T2" s="24"/>
      <c r="U2" s="26"/>
    </row>
    <row r="3" spans="2:21" ht="17.25" x14ac:dyDescent="0.25">
      <c r="B3" s="215" t="s">
        <v>190</v>
      </c>
      <c r="C3" s="215">
        <v>1</v>
      </c>
      <c r="D3" s="216">
        <v>1</v>
      </c>
      <c r="F3" s="238" t="s">
        <v>190</v>
      </c>
      <c r="G3" s="149">
        <v>1</v>
      </c>
      <c r="H3" s="150">
        <v>0.1</v>
      </c>
      <c r="I3" s="152">
        <v>1</v>
      </c>
      <c r="K3" s="157"/>
      <c r="L3" s="158"/>
      <c r="O3" s="23" t="s">
        <v>139</v>
      </c>
      <c r="P3" s="24"/>
      <c r="Q3" s="25"/>
      <c r="R3" s="24"/>
      <c r="S3" s="24"/>
      <c r="T3" s="24"/>
      <c r="U3" s="26"/>
    </row>
    <row r="4" spans="2:21" x14ac:dyDescent="0.25">
      <c r="B4" s="215" t="s">
        <v>191</v>
      </c>
      <c r="C4" s="215">
        <v>1</v>
      </c>
      <c r="D4" s="216">
        <v>0.8</v>
      </c>
      <c r="F4" s="238" t="s">
        <v>191</v>
      </c>
      <c r="G4" s="149">
        <v>1</v>
      </c>
      <c r="H4" s="150">
        <v>0.1</v>
      </c>
      <c r="I4" s="152">
        <v>1</v>
      </c>
      <c r="K4" s="157"/>
      <c r="L4" s="158"/>
      <c r="O4" s="10"/>
      <c r="Q4" s="4"/>
      <c r="U4" s="9"/>
    </row>
    <row r="5" spans="2:21" x14ac:dyDescent="0.25">
      <c r="B5" s="215" t="s">
        <v>192</v>
      </c>
      <c r="C5" s="215">
        <v>1</v>
      </c>
      <c r="D5" s="216">
        <v>1</v>
      </c>
      <c r="F5" s="238" t="s">
        <v>192</v>
      </c>
      <c r="G5" s="149">
        <v>1</v>
      </c>
      <c r="H5" s="150">
        <v>0.1</v>
      </c>
      <c r="I5" s="152">
        <v>1</v>
      </c>
      <c r="K5" s="157"/>
      <c r="L5" s="158"/>
      <c r="O5" s="10" t="s">
        <v>140</v>
      </c>
      <c r="Q5" s="4"/>
      <c r="U5" s="9"/>
    </row>
    <row r="6" spans="2:21" x14ac:dyDescent="0.25">
      <c r="B6" s="217" t="s">
        <v>193</v>
      </c>
      <c r="C6" s="215">
        <v>1</v>
      </c>
      <c r="D6" s="216">
        <v>1</v>
      </c>
      <c r="F6" s="238" t="s">
        <v>193</v>
      </c>
      <c r="G6" s="149">
        <v>1</v>
      </c>
      <c r="H6" s="150">
        <v>0.1</v>
      </c>
      <c r="I6" s="152">
        <v>1</v>
      </c>
      <c r="K6" s="157"/>
      <c r="L6" s="158"/>
      <c r="O6" s="10" t="s">
        <v>141</v>
      </c>
      <c r="Q6" s="4"/>
      <c r="U6" s="9"/>
    </row>
    <row r="7" spans="2:21" x14ac:dyDescent="0.25">
      <c r="B7" s="191" t="s">
        <v>90</v>
      </c>
      <c r="C7" s="191">
        <v>0</v>
      </c>
      <c r="D7" s="192">
        <v>1000</v>
      </c>
      <c r="F7" s="239" t="s">
        <v>90</v>
      </c>
      <c r="G7" s="2">
        <v>0</v>
      </c>
      <c r="H7" s="143">
        <v>1000</v>
      </c>
      <c r="I7" s="1">
        <v>1</v>
      </c>
      <c r="K7" s="157"/>
      <c r="L7" s="158"/>
      <c r="O7" s="10" t="s">
        <v>142</v>
      </c>
      <c r="Q7" s="4"/>
      <c r="U7" s="9"/>
    </row>
    <row r="8" spans="2:21" ht="15" customHeight="1" x14ac:dyDescent="0.25">
      <c r="B8" s="193" t="s">
        <v>41</v>
      </c>
      <c r="C8" s="193">
        <v>1600</v>
      </c>
      <c r="D8" s="194">
        <v>0.55000000000000004</v>
      </c>
      <c r="F8" s="239" t="s">
        <v>227</v>
      </c>
      <c r="G8" s="2"/>
      <c r="H8" s="143">
        <v>3.5000000000000003E-2</v>
      </c>
      <c r="I8" s="1">
        <v>1</v>
      </c>
      <c r="K8" s="157"/>
      <c r="L8" s="158"/>
      <c r="O8" s="10" t="s">
        <v>143</v>
      </c>
      <c r="Q8" s="4"/>
      <c r="U8" s="9"/>
    </row>
    <row r="9" spans="2:21" ht="15" customHeight="1" x14ac:dyDescent="0.25">
      <c r="B9" s="195" t="s">
        <v>42</v>
      </c>
      <c r="C9" s="191">
        <v>1900</v>
      </c>
      <c r="D9" s="192">
        <v>1.1000000000000001</v>
      </c>
      <c r="F9" s="239" t="s">
        <v>234</v>
      </c>
      <c r="G9" s="2">
        <v>870</v>
      </c>
      <c r="H9" s="143">
        <v>0.17499999999999999</v>
      </c>
      <c r="I9" s="1">
        <v>1</v>
      </c>
      <c r="K9" s="157"/>
      <c r="L9" s="158"/>
      <c r="O9" s="10" t="s">
        <v>145</v>
      </c>
      <c r="Q9" s="4"/>
      <c r="U9" s="9"/>
    </row>
    <row r="10" spans="2:21" ht="14.25" customHeight="1" thickBot="1" x14ac:dyDescent="0.3">
      <c r="B10" s="196" t="s">
        <v>43</v>
      </c>
      <c r="C10" s="196">
        <v>1900</v>
      </c>
      <c r="D10" s="197">
        <v>0.7</v>
      </c>
      <c r="F10" s="239" t="s">
        <v>235</v>
      </c>
      <c r="G10" s="2">
        <v>600</v>
      </c>
      <c r="H10" s="143">
        <v>0.16</v>
      </c>
      <c r="I10" s="1">
        <v>1</v>
      </c>
      <c r="K10" s="157"/>
      <c r="L10" s="158"/>
      <c r="M10" s="7"/>
      <c r="O10" s="27" t="s">
        <v>144</v>
      </c>
      <c r="P10" s="13"/>
      <c r="Q10" s="28"/>
      <c r="R10" s="13"/>
      <c r="S10" s="13"/>
      <c r="T10" s="13"/>
      <c r="U10" s="29"/>
    </row>
    <row r="11" spans="2:21" ht="30.75" thickBot="1" x14ac:dyDescent="0.3">
      <c r="B11" s="191" t="s">
        <v>44</v>
      </c>
      <c r="C11" s="191">
        <v>1900</v>
      </c>
      <c r="D11" s="198">
        <v>1.1499999999999999</v>
      </c>
      <c r="F11" s="239" t="s">
        <v>87</v>
      </c>
      <c r="G11" s="2">
        <v>45</v>
      </c>
      <c r="H11" s="143">
        <v>3.7999999999999999E-2</v>
      </c>
      <c r="I11" s="1">
        <v>1</v>
      </c>
      <c r="K11" s="157"/>
      <c r="L11" s="158"/>
      <c r="O11" s="10"/>
      <c r="U11" s="9"/>
    </row>
    <row r="12" spans="2:21" ht="18" thickBot="1" x14ac:dyDescent="0.3">
      <c r="B12" s="196" t="s">
        <v>68</v>
      </c>
      <c r="C12" s="196">
        <v>2000</v>
      </c>
      <c r="D12" s="197">
        <v>0.66</v>
      </c>
      <c r="F12" s="239" t="s">
        <v>63</v>
      </c>
      <c r="G12" s="2">
        <v>500</v>
      </c>
      <c r="H12" s="143">
        <v>7.0000000000000007E-2</v>
      </c>
      <c r="I12" s="1">
        <v>1</v>
      </c>
      <c r="K12" s="157"/>
      <c r="L12" s="158"/>
      <c r="O12" s="11" t="s">
        <v>152</v>
      </c>
      <c r="Q12" t="s">
        <v>146</v>
      </c>
      <c r="S12" s="31" t="s">
        <v>149</v>
      </c>
      <c r="U12" s="9"/>
    </row>
    <row r="13" spans="2:21" ht="16.5" customHeight="1" x14ac:dyDescent="0.25">
      <c r="B13" s="199" t="s">
        <v>91</v>
      </c>
      <c r="C13" s="200">
        <v>2100</v>
      </c>
      <c r="D13" s="201">
        <v>1.03</v>
      </c>
      <c r="F13" s="240" t="s">
        <v>3</v>
      </c>
      <c r="G13" s="2">
        <v>35</v>
      </c>
      <c r="H13" s="143">
        <v>3.5999999999999997E-2</v>
      </c>
      <c r="I13" s="1">
        <v>1</v>
      </c>
      <c r="K13" s="157"/>
      <c r="L13" s="158"/>
      <c r="O13" s="35" t="s">
        <v>147</v>
      </c>
      <c r="P13" s="37">
        <f>4*S19*0.0000000567*S16^3</f>
        <v>4.8759924326400004</v>
      </c>
      <c r="S13" s="32">
        <v>5.6699999999999998E-8</v>
      </c>
      <c r="U13" s="9"/>
    </row>
    <row r="14" spans="2:21" ht="15.75" thickBot="1" x14ac:dyDescent="0.3">
      <c r="B14" s="202" t="s">
        <v>92</v>
      </c>
      <c r="C14" s="203">
        <v>2100</v>
      </c>
      <c r="D14" s="204">
        <v>1.39</v>
      </c>
      <c r="F14" s="240" t="s">
        <v>271</v>
      </c>
      <c r="G14" s="2">
        <v>50</v>
      </c>
      <c r="H14" s="143">
        <v>3.5999999999999997E-2</v>
      </c>
      <c r="I14" s="1">
        <v>1</v>
      </c>
      <c r="K14" s="157"/>
      <c r="L14" s="158"/>
      <c r="O14" s="36" t="s">
        <v>148</v>
      </c>
      <c r="P14" s="38">
        <f>1/P13</f>
        <v>0.20508645446329613</v>
      </c>
      <c r="S14" s="33"/>
      <c r="U14" s="9"/>
    </row>
    <row r="15" spans="2:21" x14ac:dyDescent="0.25">
      <c r="B15" s="195" t="s">
        <v>0</v>
      </c>
      <c r="C15" s="195">
        <v>3000</v>
      </c>
      <c r="D15" s="205">
        <v>3.5</v>
      </c>
      <c r="F15" s="242" t="s">
        <v>69</v>
      </c>
      <c r="G15" s="2">
        <v>220</v>
      </c>
      <c r="H15" s="143">
        <v>4.2999999999999997E-2</v>
      </c>
      <c r="I15" s="1">
        <v>1</v>
      </c>
      <c r="K15" s="16"/>
      <c r="O15" s="10"/>
      <c r="S15" s="14" t="s">
        <v>150</v>
      </c>
      <c r="U15" s="9"/>
    </row>
    <row r="16" spans="2:21" x14ac:dyDescent="0.25">
      <c r="B16" s="196" t="s">
        <v>45</v>
      </c>
      <c r="C16" s="196">
        <v>1750</v>
      </c>
      <c r="D16" s="197">
        <v>1.1499999999999999</v>
      </c>
      <c r="F16" s="239" t="s">
        <v>5</v>
      </c>
      <c r="G16" s="2">
        <v>55</v>
      </c>
      <c r="H16" s="143">
        <v>3.7999999999999999E-2</v>
      </c>
      <c r="I16" s="1">
        <v>1</v>
      </c>
      <c r="K16" s="48"/>
      <c r="M16" s="7"/>
      <c r="O16" s="10"/>
      <c r="S16" s="91">
        <v>288</v>
      </c>
      <c r="U16" s="9"/>
    </row>
    <row r="17" spans="2:21" x14ac:dyDescent="0.25">
      <c r="B17" s="191" t="s">
        <v>46</v>
      </c>
      <c r="C17" s="191">
        <v>1750</v>
      </c>
      <c r="D17" s="198">
        <v>1.3</v>
      </c>
      <c r="F17" s="240" t="s">
        <v>73</v>
      </c>
      <c r="G17" s="2">
        <v>40</v>
      </c>
      <c r="H17" s="143">
        <v>3.6999999999999998E-2</v>
      </c>
      <c r="I17" s="1">
        <v>1</v>
      </c>
      <c r="M17" s="7"/>
      <c r="O17" s="10"/>
      <c r="S17" s="33"/>
      <c r="U17" s="9"/>
    </row>
    <row r="18" spans="2:21" x14ac:dyDescent="0.25">
      <c r="B18" s="191" t="s">
        <v>235</v>
      </c>
      <c r="C18" s="191">
        <v>600</v>
      </c>
      <c r="D18" s="198">
        <v>0.16</v>
      </c>
      <c r="F18" s="240" t="s">
        <v>74</v>
      </c>
      <c r="G18" s="2">
        <v>40</v>
      </c>
      <c r="H18" s="143">
        <v>2.7E-2</v>
      </c>
      <c r="I18" s="1">
        <v>1</v>
      </c>
      <c r="O18" s="10"/>
      <c r="S18" s="34" t="s">
        <v>151</v>
      </c>
      <c r="U18" s="9"/>
    </row>
    <row r="19" spans="2:21" ht="15.75" thickBot="1" x14ac:dyDescent="0.3">
      <c r="B19" s="196" t="s">
        <v>47</v>
      </c>
      <c r="C19" s="196">
        <v>2500</v>
      </c>
      <c r="D19" s="197">
        <v>1.8</v>
      </c>
      <c r="F19" s="241" t="s">
        <v>275</v>
      </c>
      <c r="G19" s="2">
        <v>190</v>
      </c>
      <c r="H19" s="143">
        <v>7.0000000000000007E-2</v>
      </c>
      <c r="I19" s="1">
        <v>1</v>
      </c>
      <c r="O19" s="27"/>
      <c r="P19" s="13"/>
      <c r="Q19" s="13"/>
      <c r="R19" s="13"/>
      <c r="S19" s="92">
        <v>0.9</v>
      </c>
      <c r="T19" s="13"/>
      <c r="U19" s="29"/>
    </row>
    <row r="20" spans="2:21" ht="15.75" thickBot="1" x14ac:dyDescent="0.3">
      <c r="B20" s="191" t="s">
        <v>64</v>
      </c>
      <c r="C20" s="191">
        <v>1900</v>
      </c>
      <c r="D20" s="198">
        <v>0.93</v>
      </c>
      <c r="F20" s="239" t="s">
        <v>12</v>
      </c>
      <c r="G20" s="2"/>
      <c r="H20" s="143">
        <v>3.4000000000000002E-2</v>
      </c>
      <c r="I20" s="1">
        <v>1</v>
      </c>
      <c r="K20" s="162" t="s">
        <v>207</v>
      </c>
      <c r="L20" s="163"/>
    </row>
    <row r="21" spans="2:21" x14ac:dyDescent="0.25">
      <c r="B21" s="196" t="s">
        <v>65</v>
      </c>
      <c r="C21" s="196">
        <v>1900</v>
      </c>
      <c r="D21" s="197">
        <v>1.5</v>
      </c>
      <c r="F21" s="239" t="s">
        <v>13</v>
      </c>
      <c r="G21" s="2"/>
      <c r="H21" s="143">
        <v>0.04</v>
      </c>
      <c r="I21" s="1">
        <v>1</v>
      </c>
      <c r="K21" s="11" t="s">
        <v>205</v>
      </c>
      <c r="L21" s="211">
        <v>-539.375</v>
      </c>
      <c r="P21" s="12" t="s">
        <v>175</v>
      </c>
      <c r="Q21" s="24"/>
      <c r="R21" s="26"/>
    </row>
    <row r="22" spans="2:21" ht="15.75" thickBot="1" x14ac:dyDescent="0.3">
      <c r="B22" s="191" t="s">
        <v>1</v>
      </c>
      <c r="C22" s="191">
        <v>2100</v>
      </c>
      <c r="D22" s="198">
        <v>1.5</v>
      </c>
      <c r="F22" s="239" t="s">
        <v>78</v>
      </c>
      <c r="G22" s="2"/>
      <c r="H22" s="143">
        <v>3.7999999999999999E-2</v>
      </c>
      <c r="I22" s="1">
        <v>1</v>
      </c>
      <c r="K22" s="11" t="s">
        <v>206</v>
      </c>
      <c r="L22" s="211">
        <v>62.844999999999999</v>
      </c>
      <c r="P22" s="283">
        <v>0.1</v>
      </c>
      <c r="Q22" s="13"/>
      <c r="R22" s="29"/>
    </row>
    <row r="23" spans="2:21" x14ac:dyDescent="0.25">
      <c r="B23" s="196" t="s">
        <v>2</v>
      </c>
      <c r="C23" s="196">
        <v>2100</v>
      </c>
      <c r="D23" s="197">
        <v>1.28</v>
      </c>
      <c r="F23" s="239" t="s">
        <v>14</v>
      </c>
      <c r="G23" s="2"/>
      <c r="H23" s="143">
        <v>4.2999999999999997E-2</v>
      </c>
      <c r="I23" s="1">
        <v>1</v>
      </c>
      <c r="K23" s="11" t="s">
        <v>213</v>
      </c>
      <c r="L23" s="211">
        <v>6.2789999999999999</v>
      </c>
      <c r="P23" s="12" t="s">
        <v>176</v>
      </c>
      <c r="Q23" s="24"/>
      <c r="R23" s="26"/>
    </row>
    <row r="24" spans="2:21" ht="15.75" thickBot="1" x14ac:dyDescent="0.3">
      <c r="B24" s="196" t="s">
        <v>226</v>
      </c>
      <c r="C24" s="196">
        <v>2400</v>
      </c>
      <c r="D24" s="197">
        <v>0.85</v>
      </c>
      <c r="F24" s="239" t="s">
        <v>81</v>
      </c>
      <c r="G24" s="2">
        <v>150</v>
      </c>
      <c r="H24" s="143">
        <v>4.4999999999999998E-2</v>
      </c>
      <c r="I24" s="1">
        <v>1</v>
      </c>
      <c r="K24" s="11" t="s">
        <v>217</v>
      </c>
      <c r="L24" s="212">
        <f>Rekentool!$D$28</f>
        <v>20</v>
      </c>
      <c r="P24" s="159">
        <v>0.13</v>
      </c>
      <c r="Q24" s="13"/>
      <c r="R24" s="29"/>
    </row>
    <row r="25" spans="2:21" ht="15.75" thickBot="1" x14ac:dyDescent="0.3">
      <c r="B25" s="191" t="s">
        <v>53</v>
      </c>
      <c r="C25" s="191">
        <v>2300</v>
      </c>
      <c r="D25" s="198">
        <v>1.5</v>
      </c>
      <c r="F25" s="239" t="s">
        <v>16</v>
      </c>
      <c r="G25" s="2"/>
      <c r="H25" s="143">
        <v>0.14000000000000001</v>
      </c>
      <c r="I25" s="1">
        <v>1</v>
      </c>
      <c r="K25" s="11" t="s">
        <v>216</v>
      </c>
      <c r="L25" s="213">
        <v>2</v>
      </c>
    </row>
    <row r="26" spans="2:21" x14ac:dyDescent="0.25">
      <c r="B26" s="196" t="s">
        <v>54</v>
      </c>
      <c r="C26" s="196">
        <v>2300</v>
      </c>
      <c r="D26" s="197">
        <v>2</v>
      </c>
      <c r="F26" s="239" t="s">
        <v>17</v>
      </c>
      <c r="G26" s="2">
        <v>1.3</v>
      </c>
      <c r="H26" s="143">
        <v>2.5000000000000001E-2</v>
      </c>
      <c r="I26" s="1">
        <v>1</v>
      </c>
      <c r="K26" s="11" t="s">
        <v>215</v>
      </c>
      <c r="L26" s="212">
        <f>Tbin-Tc</f>
        <v>18</v>
      </c>
      <c r="P26" s="12" t="s">
        <v>171</v>
      </c>
      <c r="Q26" s="8"/>
      <c r="R26" s="8"/>
      <c r="S26" s="26"/>
    </row>
    <row r="27" spans="2:21" ht="15.75" thickBot="1" x14ac:dyDescent="0.3">
      <c r="B27" s="191" t="s">
        <v>55</v>
      </c>
      <c r="C27" s="191">
        <v>2300</v>
      </c>
      <c r="D27" s="198">
        <v>1.9</v>
      </c>
      <c r="F27" s="239" t="s">
        <v>279</v>
      </c>
      <c r="G27" s="2"/>
      <c r="H27" s="143">
        <v>1.8200000000000001E-2</v>
      </c>
      <c r="I27" s="1">
        <v>1</v>
      </c>
      <c r="K27" s="161" t="s">
        <v>211</v>
      </c>
      <c r="L27" s="214">
        <f>L21+L22*Tbcor+L23*Tbcor^2</f>
        <v>2626.2309999999998</v>
      </c>
      <c r="P27" s="11">
        <v>35.17</v>
      </c>
      <c r="Q27" s="16" t="s">
        <v>126</v>
      </c>
      <c r="S27" s="9"/>
    </row>
    <row r="28" spans="2:21" ht="15.75" thickBot="1" x14ac:dyDescent="0.3">
      <c r="B28" s="196" t="s">
        <v>56</v>
      </c>
      <c r="C28" s="196">
        <v>2300</v>
      </c>
      <c r="D28" s="197">
        <v>2.2999999999999998</v>
      </c>
      <c r="F28" s="239" t="s">
        <v>21</v>
      </c>
      <c r="G28" s="2">
        <v>950</v>
      </c>
      <c r="H28" s="143">
        <v>0.18</v>
      </c>
      <c r="I28" s="1">
        <v>1</v>
      </c>
      <c r="K28" s="162" t="s">
        <v>214</v>
      </c>
      <c r="L28" s="278">
        <v>9.5</v>
      </c>
      <c r="P28" s="11" t="s">
        <v>172</v>
      </c>
      <c r="Q28" s="7"/>
      <c r="S28" s="9"/>
    </row>
    <row r="29" spans="2:21" x14ac:dyDescent="0.25">
      <c r="B29" s="191" t="s">
        <v>48</v>
      </c>
      <c r="C29" s="191">
        <v>2500</v>
      </c>
      <c r="D29" s="198">
        <v>3.5</v>
      </c>
      <c r="F29" s="239" t="s">
        <v>236</v>
      </c>
      <c r="G29" s="2">
        <v>90</v>
      </c>
      <c r="H29" s="143">
        <v>6.8000000000000005E-2</v>
      </c>
      <c r="I29" s="1">
        <v>1</v>
      </c>
      <c r="M29" s="95"/>
      <c r="P29" s="15">
        <f>Rekentool!D32</f>
        <v>0.92</v>
      </c>
      <c r="Q29" s="7"/>
      <c r="S29" s="9"/>
    </row>
    <row r="30" spans="2:21" x14ac:dyDescent="0.25">
      <c r="B30" s="196" t="s">
        <v>49</v>
      </c>
      <c r="C30" s="196">
        <v>2500</v>
      </c>
      <c r="D30" s="197">
        <v>4.3</v>
      </c>
      <c r="F30" s="239" t="s">
        <v>225</v>
      </c>
      <c r="G30" s="2"/>
      <c r="H30" s="143">
        <v>2.4E-2</v>
      </c>
      <c r="I30" s="1">
        <v>1</v>
      </c>
      <c r="P30" s="11" t="s">
        <v>173</v>
      </c>
      <c r="Q30" s="7"/>
      <c r="S30" s="9"/>
    </row>
    <row r="31" spans="2:21" ht="30" x14ac:dyDescent="0.25">
      <c r="B31" s="195" t="s">
        <v>52</v>
      </c>
      <c r="C31" s="191">
        <v>715</v>
      </c>
      <c r="D31" s="198">
        <v>0.16</v>
      </c>
      <c r="F31" s="239" t="s">
        <v>100</v>
      </c>
      <c r="G31" s="2">
        <v>25</v>
      </c>
      <c r="H31" s="143">
        <v>3.7999999999999999E-2</v>
      </c>
      <c r="I31" s="1">
        <v>1</v>
      </c>
      <c r="K31" t="s">
        <v>57</v>
      </c>
      <c r="L31" t="s">
        <v>159</v>
      </c>
      <c r="M31" s="3" t="s">
        <v>58</v>
      </c>
      <c r="N31" t="s">
        <v>59</v>
      </c>
      <c r="P31" s="20">
        <f>P27*P29</f>
        <v>32.356400000000001</v>
      </c>
      <c r="Q31" s="16" t="s">
        <v>126</v>
      </c>
      <c r="S31" s="9"/>
    </row>
    <row r="32" spans="2:21" x14ac:dyDescent="0.25">
      <c r="B32" s="196" t="s">
        <v>66</v>
      </c>
      <c r="C32" s="196">
        <v>1700</v>
      </c>
      <c r="D32" s="197">
        <v>2</v>
      </c>
      <c r="F32" s="239" t="s">
        <v>101</v>
      </c>
      <c r="G32" s="2">
        <v>15</v>
      </c>
      <c r="H32" s="143">
        <v>0.04</v>
      </c>
      <c r="I32" s="1">
        <v>1</v>
      </c>
      <c r="K32" t="s">
        <v>182</v>
      </c>
      <c r="L32">
        <v>1.3</v>
      </c>
      <c r="M32" s="4">
        <v>6.25</v>
      </c>
      <c r="N32">
        <v>1</v>
      </c>
      <c r="P32" s="21" t="s">
        <v>219</v>
      </c>
      <c r="Q32" s="7"/>
      <c r="S32" s="9"/>
    </row>
    <row r="33" spans="2:19" ht="15.75" thickBot="1" x14ac:dyDescent="0.3">
      <c r="B33" s="191" t="s">
        <v>72</v>
      </c>
      <c r="C33" s="195">
        <v>1450</v>
      </c>
      <c r="D33" s="205">
        <v>0.78</v>
      </c>
      <c r="F33" s="241" t="s">
        <v>109</v>
      </c>
      <c r="G33" s="2">
        <v>38</v>
      </c>
      <c r="H33" s="143">
        <v>2.5999999999999999E-2</v>
      </c>
      <c r="I33" s="1">
        <v>1</v>
      </c>
      <c r="K33" t="s">
        <v>186</v>
      </c>
      <c r="L33">
        <v>1.3</v>
      </c>
      <c r="M33" s="4">
        <v>5</v>
      </c>
      <c r="N33">
        <v>1</v>
      </c>
      <c r="P33" s="146">
        <f>Rekentool!D34</f>
        <v>3</v>
      </c>
      <c r="Q33" s="22" t="s">
        <v>137</v>
      </c>
      <c r="R33" s="160"/>
      <c r="S33" s="29"/>
    </row>
    <row r="34" spans="2:19" ht="15.75" thickTop="1" x14ac:dyDescent="0.25">
      <c r="B34" s="196" t="s">
        <v>4</v>
      </c>
      <c r="C34" s="196">
        <v>1000</v>
      </c>
      <c r="D34" s="197">
        <v>0.28999999999999998</v>
      </c>
      <c r="F34" s="239" t="s">
        <v>103</v>
      </c>
      <c r="G34" s="2">
        <v>33</v>
      </c>
      <c r="H34" s="143">
        <v>3.5000000000000003E-2</v>
      </c>
      <c r="I34" s="1">
        <v>1</v>
      </c>
      <c r="K34" t="s">
        <v>183</v>
      </c>
      <c r="L34">
        <v>1.3</v>
      </c>
      <c r="M34" s="4">
        <v>2.222</v>
      </c>
      <c r="N34">
        <v>1</v>
      </c>
    </row>
    <row r="35" spans="2:19" x14ac:dyDescent="0.25">
      <c r="B35" s="191" t="s">
        <v>50</v>
      </c>
      <c r="C35" s="191"/>
      <c r="D35" s="198">
        <v>0.19</v>
      </c>
      <c r="F35" s="241" t="s">
        <v>104</v>
      </c>
      <c r="G35" s="2"/>
      <c r="H35" s="143">
        <v>2.1999999999999999E-2</v>
      </c>
      <c r="I35" s="1">
        <v>1</v>
      </c>
      <c r="K35" t="s">
        <v>184</v>
      </c>
      <c r="L35">
        <v>1.3</v>
      </c>
      <c r="M35" s="4">
        <v>1000</v>
      </c>
      <c r="N35">
        <v>0</v>
      </c>
      <c r="O35" s="148"/>
    </row>
    <row r="36" spans="2:19" x14ac:dyDescent="0.25">
      <c r="B36" s="196" t="s">
        <v>51</v>
      </c>
      <c r="C36" s="196"/>
      <c r="D36" s="197">
        <v>0.15</v>
      </c>
      <c r="F36" s="241" t="s">
        <v>105</v>
      </c>
      <c r="G36" s="1">
        <v>39</v>
      </c>
      <c r="H36" s="143">
        <v>2.1000000000000001E-2</v>
      </c>
      <c r="I36" s="1">
        <v>1</v>
      </c>
      <c r="O36" s="148"/>
    </row>
    <row r="37" spans="2:19" x14ac:dyDescent="0.25">
      <c r="B37" s="191" t="s">
        <v>70</v>
      </c>
      <c r="C37" s="195">
        <v>350</v>
      </c>
      <c r="D37" s="205">
        <v>7.0000000000000007E-2</v>
      </c>
      <c r="F37" s="239" t="s">
        <v>105</v>
      </c>
      <c r="G37" s="1">
        <v>60</v>
      </c>
      <c r="H37" s="143">
        <v>2.9000000000000001E-2</v>
      </c>
      <c r="I37" s="1">
        <v>1</v>
      </c>
      <c r="K37" s="17" t="s">
        <v>130</v>
      </c>
      <c r="L37" s="6" t="s">
        <v>188</v>
      </c>
      <c r="N37" s="5"/>
      <c r="O37" s="148"/>
    </row>
    <row r="38" spans="2:19" x14ac:dyDescent="0.25">
      <c r="B38" s="196" t="s">
        <v>71</v>
      </c>
      <c r="C38" s="193">
        <v>700</v>
      </c>
      <c r="D38" s="194">
        <v>0.21</v>
      </c>
      <c r="F38" s="241" t="s">
        <v>106</v>
      </c>
      <c r="G38" s="1">
        <v>300</v>
      </c>
      <c r="H38" s="210">
        <v>0.09</v>
      </c>
      <c r="I38" s="1">
        <v>1</v>
      </c>
      <c r="K38" s="18" t="s">
        <v>253</v>
      </c>
      <c r="L38" s="271">
        <v>1000</v>
      </c>
      <c r="N38" s="5"/>
      <c r="O38" s="148"/>
    </row>
    <row r="39" spans="2:19" x14ac:dyDescent="0.25">
      <c r="B39" s="191" t="s">
        <v>67</v>
      </c>
      <c r="C39" s="195">
        <v>38</v>
      </c>
      <c r="D39" s="205">
        <v>0.04</v>
      </c>
      <c r="F39" s="239" t="s">
        <v>107</v>
      </c>
      <c r="G39" s="1">
        <v>50</v>
      </c>
      <c r="H39" s="143">
        <v>3.3000000000000002E-2</v>
      </c>
      <c r="I39" s="1">
        <v>1</v>
      </c>
      <c r="K39" s="18" t="s">
        <v>132</v>
      </c>
      <c r="L39" s="271">
        <v>5.9</v>
      </c>
      <c r="N39" s="5"/>
      <c r="O39" s="148"/>
    </row>
    <row r="40" spans="2:19" x14ac:dyDescent="0.25">
      <c r="B40" s="193" t="s">
        <v>6</v>
      </c>
      <c r="C40" s="193">
        <v>1000</v>
      </c>
      <c r="D40" s="194">
        <v>0.3</v>
      </c>
      <c r="F40" s="239" t="s">
        <v>26</v>
      </c>
      <c r="G40" s="1"/>
      <c r="H40" s="143">
        <v>4.4999999999999998E-2</v>
      </c>
      <c r="I40" s="1">
        <v>1</v>
      </c>
      <c r="K40" s="18" t="s">
        <v>254</v>
      </c>
      <c r="L40" s="271">
        <v>6.6</v>
      </c>
      <c r="N40" s="5"/>
      <c r="O40" s="148"/>
    </row>
    <row r="41" spans="2:19" x14ac:dyDescent="0.25">
      <c r="B41" s="195" t="s">
        <v>7</v>
      </c>
      <c r="C41" s="195">
        <v>1600</v>
      </c>
      <c r="D41" s="205">
        <v>0.7</v>
      </c>
      <c r="F41" s="240" t="s">
        <v>30</v>
      </c>
      <c r="G41" s="1">
        <v>100</v>
      </c>
      <c r="H41" s="143">
        <v>3.5999999999999997E-2</v>
      </c>
      <c r="I41" s="1">
        <v>1</v>
      </c>
      <c r="K41" s="18" t="s">
        <v>272</v>
      </c>
      <c r="L41" s="271">
        <v>2</v>
      </c>
      <c r="N41" s="5"/>
      <c r="O41" s="148"/>
    </row>
    <row r="42" spans="2:19" ht="15" customHeight="1" x14ac:dyDescent="0.25">
      <c r="B42" s="206" t="s">
        <v>8</v>
      </c>
      <c r="C42" s="193">
        <v>2280</v>
      </c>
      <c r="D42" s="194">
        <v>1.6</v>
      </c>
      <c r="F42" s="239" t="s">
        <v>110</v>
      </c>
      <c r="G42" s="1">
        <v>100</v>
      </c>
      <c r="H42" s="143">
        <v>5.3999999999999999E-2</v>
      </c>
      <c r="I42" s="1">
        <v>1</v>
      </c>
      <c r="K42" s="18" t="s">
        <v>261</v>
      </c>
      <c r="L42" s="271">
        <v>1.7</v>
      </c>
      <c r="N42" s="5"/>
      <c r="O42" s="148"/>
    </row>
    <row r="43" spans="2:19" x14ac:dyDescent="0.25">
      <c r="B43" s="195" t="s">
        <v>76</v>
      </c>
      <c r="C43" s="195">
        <v>2650</v>
      </c>
      <c r="D43" s="205">
        <v>2.2999999999999998</v>
      </c>
      <c r="F43" s="241" t="s">
        <v>111</v>
      </c>
      <c r="G43" s="1">
        <v>300</v>
      </c>
      <c r="H43" s="143">
        <v>0.1</v>
      </c>
      <c r="I43" s="1">
        <v>1</v>
      </c>
      <c r="K43" s="18" t="s">
        <v>262</v>
      </c>
      <c r="L43" s="271">
        <v>1.25</v>
      </c>
      <c r="N43" s="5"/>
      <c r="O43" s="148"/>
    </row>
    <row r="44" spans="2:19" x14ac:dyDescent="0.25">
      <c r="B44" s="193" t="s">
        <v>77</v>
      </c>
      <c r="C44" s="193">
        <v>2650</v>
      </c>
      <c r="D44" s="194">
        <v>2.9</v>
      </c>
      <c r="F44" s="241" t="s">
        <v>112</v>
      </c>
      <c r="G44" s="1">
        <v>40</v>
      </c>
      <c r="H44" s="143">
        <v>3.9E-2</v>
      </c>
      <c r="I44" s="1">
        <v>1</v>
      </c>
      <c r="K44" s="18" t="s">
        <v>255</v>
      </c>
      <c r="L44" s="271">
        <v>7.7</v>
      </c>
      <c r="N44" s="5"/>
    </row>
    <row r="45" spans="2:19" x14ac:dyDescent="0.25">
      <c r="B45" s="199" t="s">
        <v>9</v>
      </c>
      <c r="C45" s="200">
        <v>1980</v>
      </c>
      <c r="D45" s="201">
        <v>0.9</v>
      </c>
      <c r="F45" s="241" t="s">
        <v>154</v>
      </c>
      <c r="G45" s="1"/>
      <c r="H45" s="143">
        <v>0.2</v>
      </c>
      <c r="I45" s="1">
        <v>0</v>
      </c>
      <c r="K45" s="18" t="s">
        <v>256</v>
      </c>
      <c r="L45" s="271">
        <v>5</v>
      </c>
      <c r="N45" s="5"/>
    </row>
    <row r="46" spans="2:19" ht="15" customHeight="1" x14ac:dyDescent="0.25">
      <c r="B46" s="203" t="s">
        <v>75</v>
      </c>
      <c r="C46" s="203">
        <v>2300</v>
      </c>
      <c r="D46" s="204">
        <v>1.3</v>
      </c>
      <c r="F46" s="239" t="s">
        <v>34</v>
      </c>
      <c r="G46" s="1">
        <v>270</v>
      </c>
      <c r="H46" s="143">
        <v>0.1</v>
      </c>
      <c r="I46" s="1">
        <v>1</v>
      </c>
      <c r="K46" s="18" t="s">
        <v>257</v>
      </c>
      <c r="L46" s="271">
        <v>5</v>
      </c>
    </row>
    <row r="47" spans="2:19" ht="14.25" customHeight="1" x14ac:dyDescent="0.25">
      <c r="B47" s="195" t="s">
        <v>10</v>
      </c>
      <c r="C47" s="195">
        <v>1000</v>
      </c>
      <c r="D47" s="205">
        <v>0.5</v>
      </c>
      <c r="F47" s="239" t="s">
        <v>228</v>
      </c>
      <c r="G47" s="1"/>
      <c r="H47" s="143">
        <v>8.4000000000000005E-2</v>
      </c>
      <c r="I47" s="1">
        <v>1</v>
      </c>
      <c r="K47" s="18" t="s">
        <v>136</v>
      </c>
      <c r="L47" s="271">
        <v>1.8</v>
      </c>
    </row>
    <row r="48" spans="2:19" x14ac:dyDescent="0.25">
      <c r="B48" s="193" t="s">
        <v>11</v>
      </c>
      <c r="C48" s="193"/>
      <c r="D48" s="194">
        <v>0.33</v>
      </c>
      <c r="F48" s="241" t="s">
        <v>157</v>
      </c>
      <c r="G48" s="1">
        <v>85</v>
      </c>
      <c r="H48" s="143">
        <v>5.5E-2</v>
      </c>
      <c r="I48" s="1">
        <v>1</v>
      </c>
      <c r="K48" s="18" t="s">
        <v>134</v>
      </c>
      <c r="L48" s="271">
        <v>1.85</v>
      </c>
    </row>
    <row r="49" spans="2:12" x14ac:dyDescent="0.25">
      <c r="B49" s="207" t="s">
        <v>79</v>
      </c>
      <c r="C49" s="195">
        <v>1700</v>
      </c>
      <c r="D49" s="205">
        <v>1.2</v>
      </c>
      <c r="F49" s="239" t="s">
        <v>116</v>
      </c>
      <c r="G49" s="1">
        <v>750</v>
      </c>
      <c r="H49" s="143">
        <v>0.17</v>
      </c>
      <c r="I49" s="1">
        <v>1</v>
      </c>
      <c r="K49" s="18" t="s">
        <v>135</v>
      </c>
      <c r="L49" s="271">
        <v>1.37</v>
      </c>
    </row>
    <row r="50" spans="2:12" x14ac:dyDescent="0.25">
      <c r="B50" s="206" t="s">
        <v>80</v>
      </c>
      <c r="C50" s="193">
        <v>1800</v>
      </c>
      <c r="D50" s="194">
        <v>1.8</v>
      </c>
      <c r="F50" s="239" t="s">
        <v>35</v>
      </c>
      <c r="G50" s="1">
        <v>1750</v>
      </c>
      <c r="H50" s="143">
        <v>0.37</v>
      </c>
      <c r="I50" s="1">
        <v>1</v>
      </c>
      <c r="K50" s="18" t="s">
        <v>133</v>
      </c>
      <c r="L50" s="271">
        <v>1.2</v>
      </c>
    </row>
    <row r="51" spans="2:12" ht="30" x14ac:dyDescent="0.25">
      <c r="B51" s="207" t="s">
        <v>15</v>
      </c>
      <c r="C51" s="195"/>
      <c r="D51" s="205">
        <v>1.7</v>
      </c>
      <c r="F51" s="239" t="s">
        <v>36</v>
      </c>
      <c r="G51" s="1" t="s">
        <v>24</v>
      </c>
      <c r="H51" s="143">
        <v>3.7999999999999999E-2</v>
      </c>
      <c r="I51" s="1">
        <v>1</v>
      </c>
      <c r="K51" s="18" t="s">
        <v>258</v>
      </c>
      <c r="L51" s="271">
        <v>0.9</v>
      </c>
    </row>
    <row r="52" spans="2:12" ht="30" x14ac:dyDescent="0.25">
      <c r="B52" s="193" t="s">
        <v>82</v>
      </c>
      <c r="C52" s="193">
        <v>1300</v>
      </c>
      <c r="D52" s="194">
        <v>0.5</v>
      </c>
      <c r="F52" s="239" t="s">
        <v>37</v>
      </c>
      <c r="G52" s="1">
        <v>500</v>
      </c>
      <c r="H52" s="143">
        <v>0.13</v>
      </c>
      <c r="I52" s="1">
        <v>1</v>
      </c>
      <c r="K52" s="18" t="s">
        <v>259</v>
      </c>
      <c r="L52" s="271">
        <v>0.9</v>
      </c>
    </row>
    <row r="53" spans="2:12" x14ac:dyDescent="0.25">
      <c r="B53" s="195" t="s">
        <v>83</v>
      </c>
      <c r="C53" s="195">
        <v>1300</v>
      </c>
      <c r="D53" s="205">
        <v>0.8</v>
      </c>
      <c r="F53" s="239" t="s">
        <v>39</v>
      </c>
      <c r="G53" s="1">
        <v>375</v>
      </c>
      <c r="H53" s="143">
        <v>0.05</v>
      </c>
      <c r="I53" s="1">
        <v>1</v>
      </c>
      <c r="K53" s="18" t="s">
        <v>260</v>
      </c>
      <c r="L53" s="271">
        <v>0.7</v>
      </c>
    </row>
    <row r="54" spans="2:12" x14ac:dyDescent="0.25">
      <c r="B54" s="193" t="s">
        <v>84</v>
      </c>
      <c r="C54" s="193">
        <v>1900</v>
      </c>
      <c r="D54" s="194">
        <v>0.95</v>
      </c>
      <c r="F54" s="239" t="s">
        <v>117</v>
      </c>
      <c r="G54" s="1">
        <v>20</v>
      </c>
      <c r="H54" s="143">
        <v>3.7999999999999999E-2</v>
      </c>
      <c r="I54" s="1">
        <v>1</v>
      </c>
      <c r="K54" s="18" t="s">
        <v>263</v>
      </c>
      <c r="L54" s="271">
        <v>0.45</v>
      </c>
    </row>
    <row r="55" spans="2:12" x14ac:dyDescent="0.25">
      <c r="B55" s="195" t="s">
        <v>85</v>
      </c>
      <c r="C55" s="195">
        <v>1900</v>
      </c>
      <c r="D55" s="205">
        <v>0.95</v>
      </c>
      <c r="F55" s="239" t="s">
        <v>40</v>
      </c>
      <c r="G55" s="1">
        <v>275</v>
      </c>
      <c r="H55" s="143">
        <v>0.09</v>
      </c>
      <c r="I55" s="1">
        <v>1</v>
      </c>
      <c r="K55" s="18" t="s">
        <v>230</v>
      </c>
      <c r="L55" s="271">
        <v>15</v>
      </c>
    </row>
    <row r="56" spans="2:12" x14ac:dyDescent="0.25">
      <c r="B56" s="206" t="s">
        <v>88</v>
      </c>
      <c r="C56" s="193">
        <v>2750</v>
      </c>
      <c r="D56" s="194">
        <v>2.1</v>
      </c>
      <c r="F56" s="239" t="s">
        <v>118</v>
      </c>
      <c r="G56" s="1">
        <v>1600</v>
      </c>
      <c r="H56" s="143">
        <v>0.2</v>
      </c>
      <c r="I56" s="1">
        <v>1</v>
      </c>
      <c r="K56" s="18" t="s">
        <v>231</v>
      </c>
      <c r="L56" s="271">
        <v>11</v>
      </c>
    </row>
    <row r="57" spans="2:12" x14ac:dyDescent="0.25">
      <c r="B57" s="207" t="s">
        <v>89</v>
      </c>
      <c r="C57" s="195">
        <v>2750</v>
      </c>
      <c r="D57" s="205">
        <v>2.9</v>
      </c>
      <c r="F57" s="239" t="s">
        <v>119</v>
      </c>
      <c r="G57" s="1">
        <v>1750</v>
      </c>
      <c r="H57" s="143">
        <v>1</v>
      </c>
      <c r="I57" s="1">
        <v>1</v>
      </c>
      <c r="K57" s="18" t="s">
        <v>232</v>
      </c>
      <c r="L57" s="271">
        <v>3.2</v>
      </c>
    </row>
    <row r="58" spans="2:12" x14ac:dyDescent="0.25">
      <c r="B58" s="206" t="s">
        <v>18</v>
      </c>
      <c r="C58" s="193">
        <v>1500</v>
      </c>
      <c r="D58" s="194">
        <v>2.15</v>
      </c>
      <c r="F58" s="241" t="s">
        <v>120</v>
      </c>
      <c r="G58" s="1">
        <v>2150</v>
      </c>
      <c r="H58" s="143">
        <v>2.9</v>
      </c>
      <c r="I58" s="1">
        <v>1</v>
      </c>
    </row>
    <row r="59" spans="2:12" x14ac:dyDescent="0.25">
      <c r="B59" s="206" t="s">
        <v>229</v>
      </c>
      <c r="C59" s="193"/>
      <c r="D59" s="194">
        <v>0.14000000000000001</v>
      </c>
      <c r="F59" s="241" t="s">
        <v>121</v>
      </c>
      <c r="G59" s="1">
        <v>2150</v>
      </c>
      <c r="H59" s="143">
        <v>5</v>
      </c>
      <c r="I59" s="1">
        <v>1</v>
      </c>
    </row>
    <row r="60" spans="2:12" x14ac:dyDescent="0.25">
      <c r="B60" s="207" t="s">
        <v>19</v>
      </c>
      <c r="C60" s="195">
        <v>625</v>
      </c>
      <c r="D60" s="205">
        <v>0.15</v>
      </c>
    </row>
    <row r="61" spans="2:12" x14ac:dyDescent="0.25">
      <c r="B61" s="206" t="s">
        <v>20</v>
      </c>
      <c r="C61" s="193"/>
      <c r="D61" s="194">
        <v>0.1</v>
      </c>
    </row>
    <row r="62" spans="2:12" x14ac:dyDescent="0.25">
      <c r="B62" s="199" t="s">
        <v>22</v>
      </c>
      <c r="C62" s="200">
        <v>840</v>
      </c>
      <c r="D62" s="201">
        <v>0.23</v>
      </c>
    </row>
    <row r="63" spans="2:12" x14ac:dyDescent="0.25">
      <c r="B63" s="202" t="s">
        <v>94</v>
      </c>
      <c r="C63" s="203">
        <v>1900</v>
      </c>
      <c r="D63" s="204">
        <v>0.9</v>
      </c>
    </row>
    <row r="64" spans="2:12" x14ac:dyDescent="0.25">
      <c r="B64" s="199" t="s">
        <v>95</v>
      </c>
      <c r="C64" s="200">
        <v>1900</v>
      </c>
      <c r="D64" s="201">
        <v>1.5</v>
      </c>
    </row>
    <row r="65" spans="2:4" x14ac:dyDescent="0.25">
      <c r="B65" s="193" t="s">
        <v>97</v>
      </c>
      <c r="C65" s="193">
        <v>1300</v>
      </c>
      <c r="D65" s="194">
        <v>0.5</v>
      </c>
    </row>
    <row r="66" spans="2:4" x14ac:dyDescent="0.25">
      <c r="B66" s="195" t="s">
        <v>96</v>
      </c>
      <c r="C66" s="195">
        <v>1300</v>
      </c>
      <c r="D66" s="205">
        <v>0.8</v>
      </c>
    </row>
    <row r="67" spans="2:4" x14ac:dyDescent="0.25">
      <c r="B67" s="193" t="s">
        <v>98</v>
      </c>
      <c r="C67" s="193">
        <v>1600</v>
      </c>
      <c r="D67" s="194">
        <v>0.7</v>
      </c>
    </row>
    <row r="68" spans="2:4" x14ac:dyDescent="0.25">
      <c r="B68" s="195" t="s">
        <v>99</v>
      </c>
      <c r="C68" s="195">
        <v>1600</v>
      </c>
      <c r="D68" s="205">
        <v>0.8</v>
      </c>
    </row>
    <row r="69" spans="2:4" x14ac:dyDescent="0.25">
      <c r="B69" s="202" t="s">
        <v>23</v>
      </c>
      <c r="C69" s="203">
        <v>1275</v>
      </c>
      <c r="D69" s="204">
        <v>0.5</v>
      </c>
    </row>
    <row r="70" spans="2:4" x14ac:dyDescent="0.25">
      <c r="B70" s="195" t="s">
        <v>25</v>
      </c>
      <c r="C70" s="195">
        <v>1300</v>
      </c>
      <c r="D70" s="205">
        <v>0.16</v>
      </c>
    </row>
    <row r="71" spans="2:4" x14ac:dyDescent="0.25">
      <c r="B71" s="203" t="s">
        <v>108</v>
      </c>
      <c r="C71" s="203">
        <v>1400</v>
      </c>
      <c r="D71" s="204">
        <v>0.23</v>
      </c>
    </row>
    <row r="72" spans="2:4" x14ac:dyDescent="0.25">
      <c r="B72" s="195" t="s">
        <v>27</v>
      </c>
      <c r="C72" s="195"/>
      <c r="D72" s="205">
        <v>0.2</v>
      </c>
    </row>
    <row r="73" spans="2:4" x14ac:dyDescent="0.25">
      <c r="B73" s="193" t="s">
        <v>28</v>
      </c>
      <c r="C73" s="193">
        <v>600</v>
      </c>
      <c r="D73" s="194">
        <v>0.15</v>
      </c>
    </row>
    <row r="74" spans="2:4" x14ac:dyDescent="0.25">
      <c r="B74" s="195" t="s">
        <v>29</v>
      </c>
      <c r="C74" s="195">
        <v>2990</v>
      </c>
      <c r="D74" s="205">
        <v>6.4</v>
      </c>
    </row>
    <row r="75" spans="2:4" x14ac:dyDescent="0.25">
      <c r="B75" s="202" t="s">
        <v>31</v>
      </c>
      <c r="C75" s="203">
        <v>1300</v>
      </c>
      <c r="D75" s="204">
        <v>0.57999999999999996</v>
      </c>
    </row>
    <row r="76" spans="2:4" x14ac:dyDescent="0.25">
      <c r="B76" s="199" t="s">
        <v>32</v>
      </c>
      <c r="C76" s="200">
        <v>1900</v>
      </c>
      <c r="D76" s="201">
        <v>0.8</v>
      </c>
    </row>
    <row r="77" spans="2:4" x14ac:dyDescent="0.25">
      <c r="B77" s="193" t="s">
        <v>33</v>
      </c>
      <c r="C77" s="193">
        <v>2000</v>
      </c>
      <c r="D77" s="194">
        <v>1.25</v>
      </c>
    </row>
    <row r="78" spans="2:4" x14ac:dyDescent="0.25">
      <c r="B78" s="207" t="s">
        <v>113</v>
      </c>
      <c r="C78" s="195">
        <v>1300</v>
      </c>
      <c r="D78" s="205">
        <v>0.43</v>
      </c>
    </row>
    <row r="79" spans="2:4" x14ac:dyDescent="0.25">
      <c r="B79" s="206" t="s">
        <v>114</v>
      </c>
      <c r="C79" s="193">
        <v>1300</v>
      </c>
      <c r="D79" s="194">
        <v>0.6</v>
      </c>
    </row>
    <row r="80" spans="2:4" x14ac:dyDescent="0.25">
      <c r="B80" s="207" t="s">
        <v>115</v>
      </c>
      <c r="C80" s="195">
        <v>230</v>
      </c>
      <c r="D80" s="205">
        <v>0.4</v>
      </c>
    </row>
    <row r="81" spans="2:4" x14ac:dyDescent="0.25">
      <c r="B81" s="208" t="s">
        <v>38</v>
      </c>
      <c r="C81" s="209">
        <v>1050</v>
      </c>
      <c r="D81" s="151">
        <v>0.44</v>
      </c>
    </row>
  </sheetData>
  <sheetProtection algorithmName="SHA-512" hashValue="AGFSMu8CIY5iI/yiHSDCWKpjwbRJ5w2OAWfTCNAOfyUlXwSMdcG6uZ3baiaZt85kXGLKZCSCc0z7lxd5PQ3q/A==" saltValue="k/CfduxWZR4dcKymyRjtLQ==" spinCount="100000" sheet="1" objects="1" scenarios="1"/>
  <phoneticPr fontId="7" type="noConversion"/>
  <dataValidations count="2">
    <dataValidation type="decimal" errorStyle="warning" allowBlank="1" showInputMessage="1" showErrorMessage="1" error="Waarde buiten verwachte gebied" sqref="D7" xr:uid="{02152DDF-4E21-47CB-B206-23DA800FE0EA}">
      <formula1>0.01</formula1>
      <formula2>10</formula2>
    </dataValidation>
    <dataValidation type="decimal" allowBlank="1" showInputMessage="1" showErrorMessage="1" error="Toegestane range: 0.01 - 10" sqref="D3:D6 H3:H6" xr:uid="{1833C77C-CA61-4070-B573-380849CAB61D}">
      <formula1>0.01</formula1>
      <formula2>10</formula2>
    </dataValidation>
  </dataValidations>
  <hyperlinks>
    <hyperlink ref="B42" r:id="rId1" display="https://www.joostdevree.nl/shtmls/kalksteen.shtml" xr:uid="{CCE74C1F-ED4A-465B-8E24-1AF2B2BBAFC1}"/>
    <hyperlink ref="B45" r:id="rId2" display="https://www.joostdevree.nl/shtmls/kalkzandsteen.shtml" xr:uid="{1506363D-A305-43B8-BC46-31D09ED43FB8}"/>
    <hyperlink ref="B49" r:id="rId3" display="https://www.joostdevree.nl/shtmls/klei.shtml" xr:uid="{4921367D-D4DA-4C96-997F-D3E474FFB33D}"/>
    <hyperlink ref="B50" r:id="rId4" display="https://www.joostdevree.nl/shtmls/klei.shtml" xr:uid="{F9B77DB2-92F9-4E03-8AF9-88A016F5E2A6}"/>
    <hyperlink ref="B51" r:id="rId5" display="https://www.joostdevree.nl/shtmls/leem.shtml" xr:uid="{480F28FF-F892-435D-AB41-4A7B871760FC}"/>
    <hyperlink ref="B56" r:id="rId6" display="https://www.joostdevree.nl/shtmls/marmer.shtml" xr:uid="{BEF07549-8B06-4BC3-989A-E945E63780CE}"/>
    <hyperlink ref="B57" r:id="rId7" display="https://www.joostdevree.nl/shtmls/marmer.shtml" xr:uid="{8028B54F-D9D5-4471-AD3B-2217765C53DC}"/>
    <hyperlink ref="B58" r:id="rId8" display="https://www.joostdevree.nl/shtmls/mergel.shtml" xr:uid="{87ED0934-78C7-434C-80D7-19F161F2569B}"/>
    <hyperlink ref="B14" r:id="rId9" location="gevelklinker" display="https://www.joostdevree.nl/shtmls/warmtegeleidingscoefficient.shtml - gevelklinker" xr:uid="{8B524CA8-91CB-4C1F-8D46-F0FF287B6FF0}"/>
    <hyperlink ref="B13" r:id="rId10" location="gevelklinker" display="https://www.joostdevree.nl/shtmls/warmtegeleidingscoefficient.shtml - gevelklinker" xr:uid="{C5DC5692-A09B-4271-B05C-0B9E06AE1CC6}"/>
    <hyperlink ref="B60" r:id="rId11" display="https://www.joostdevree.nl/shtmls/triplex.shtml" xr:uid="{F0DB45C8-A63E-4457-98FA-D9EF788FBB6D}"/>
    <hyperlink ref="B61" r:id="rId12" display="https://www.joostdevree.nl/shtmls/osb.shtml" xr:uid="{5EFB0630-4760-40BB-B5E8-2B1BCFC83AAD}"/>
    <hyperlink ref="B62" r:id="rId13" display="https://www.joostdevree.nl/shtmls/polyetheen.shtml" xr:uid="{27D4A320-BF07-4916-AE7D-8DEDA6D1D12D}"/>
    <hyperlink ref="B63" r:id="rId14" display="https://www.joostdevree.nl/shtmls/pleisterlaag.shtml" xr:uid="{4168D75C-E8B6-4D20-A975-B4010F69BA52}"/>
    <hyperlink ref="B64" r:id="rId15" display="https://www.joostdevree.nl/shtmls/pleisterlaag.shtml" xr:uid="{839B3516-46AC-4B44-A68B-6762E0B3AF83}"/>
    <hyperlink ref="B69" r:id="rId16" display="https://www.joostdevree.nl/shtmls/porisosteen.shtml" xr:uid="{32FF7CE9-8CE4-4A10-B4D5-61090010DFBF}"/>
    <hyperlink ref="B75" r:id="rId17" display="https://www.joostdevree.nl/shtmls/gips.shtml" xr:uid="{8EF0518A-7CA2-47D1-B01E-64534C0A39BE}"/>
    <hyperlink ref="B76" r:id="rId18" display="https://www.joostdevree.nl/shtmls/kalk.shtml" xr:uid="{19F337A2-F57C-4CF2-A458-12009AC42F6C}"/>
    <hyperlink ref="B78" r:id="rId19" display="https://www.joostdevree.nl/shtmls/tufsteen.shtml" xr:uid="{DE277F80-5FC4-4ADF-8557-054786654492}"/>
    <hyperlink ref="B79" r:id="rId20" display="https://www.joostdevree.nl/shtmls/tufsteen.shtml" xr:uid="{3DBF03E1-8F87-4DA2-B583-9352AFA9DAAA}"/>
    <hyperlink ref="B80" r:id="rId21" display="https://www.joostdevree.nl/shtmls/veen.shtml" xr:uid="{4A866DA2-E460-4AC6-959A-534E432A9964}"/>
    <hyperlink ref="B81" r:id="rId22" display="https://www.joostdevree.nl/shtmls/vloerverwarming.shtml" xr:uid="{FA1453BC-47CF-47AF-B011-BB208E76E962}"/>
    <hyperlink ref="F13" r:id="rId23" display="https://www.joostdevree.nl/shtmls/glaswol.shtml" xr:uid="{D1375F4B-5342-47AE-AA55-7591C4FB3A19}"/>
    <hyperlink ref="F17" r:id="rId24" display="https://nl.icynene.be/" xr:uid="{1D23FA61-CDC3-43AE-B82B-71A9EFCAE4BF}"/>
    <hyperlink ref="F18" r:id="rId25" display="https://nl.icynene.be/" xr:uid="{6EFA55CA-8D85-4190-84D8-CCFD2120483A}"/>
    <hyperlink ref="F33" r:id="rId26" display="https://www.joostdevree.nl/shtmls/pur.shtml" xr:uid="{31BDCBD5-AC56-4DA6-877F-004A3A77E4D1}"/>
    <hyperlink ref="F35" r:id="rId27" display="https://www.recticelinsulation.com/nl/" xr:uid="{9CC1A439-C408-4D74-9FBB-573BF13C1F44}"/>
    <hyperlink ref="F36" r:id="rId28" display="https://www.joostdevree.nl/shtmls/resol_hardschuim.shtml" xr:uid="{B8530363-E317-41E1-ADCF-056D4EDAF6BF}"/>
    <hyperlink ref="F38" r:id="rId29" display="https://www.joostdevree.nl/shtmls/riet.shtml" xr:uid="{A8ED2E1B-3797-45D5-9B67-C1DC8CC3F78B}"/>
    <hyperlink ref="F41" r:id="rId30" display="https://www.joostdevree.nl/shtmls/steenwol.shtml" xr:uid="{C6282C43-76FA-48DB-BD43-827FCFBA8D70}"/>
    <hyperlink ref="F43" r:id="rId31" display="https://www.joostdevree.nl/shtmls/stroplaat.shtml" xr:uid="{0958C4CF-F03E-4355-BEC0-8075FAFBAB94}"/>
    <hyperlink ref="F44" r:id="rId32" location="isolatie_textiel" display="https://www.joostdevree.nl/shtmls/isolatie.shtml - isolatie_textiel" xr:uid="{F6DA48B4-AB4D-4E42-8E38-E3D24DE78D50}"/>
    <hyperlink ref="F48" r:id="rId33" location="perliet" display="https://www.joostdevree.nl/shtmls/warmtegeleidingscoefficient.shtml - perliet" xr:uid="{504DD395-C6E9-40DF-899C-4C96E683A2E1}"/>
    <hyperlink ref="F58" r:id="rId34" display="https://www.joostdevree.nl/shtmls/zandsteen.shtml" xr:uid="{49D31468-2DE9-4DF4-8233-03D13FA07E56}"/>
    <hyperlink ref="F59" r:id="rId35" display="https://www.joostdevree.nl/shtmls/zandsteen.shtml" xr:uid="{4B9C1A23-D601-4EB3-8D7D-B2DAFB09D3CD}"/>
    <hyperlink ref="F14" r:id="rId36" display="houtvezelplaat" xr:uid="{C8E9BAD2-08D9-42C7-9E7F-3B22E95BB48A}"/>
  </hyperlinks>
  <pageMargins left="0.7" right="0.7" top="0.75" bottom="0.75" header="0.3" footer="0.3"/>
  <pageSetup paperSize="9" scale="38" orientation="landscape" r:id="rId37"/>
  <drawing r:id="rId38"/>
  <tableParts count="3">
    <tablePart r:id="rId39"/>
    <tablePart r:id="rId40"/>
    <tablePart r:id="rId4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7 Z M e V R F Y 5 J y k A A A A 9 g A A A B I A H A B D b 2 5 m a W c v U G F j a 2 F n Z S 5 4 b W w g o h g A K K A U A A A A A A A A A A A A A A A A A A A A A A A A A A A A h Y + x D o I w G I R f h X S n L X X Q k J 8 y u I I x M T G u T a n Q C D 8 G i u X d H H w k X 0 G M o m 6 O d / d d c n e / 3 i A d m z q 4 m K 6 3 L S Y k o p w E B n V b W C w T M r h j u C K p h K 3 S J 1 W a Y I K x j 8 f e J q R y 7 h w z 5 r 2 n f k H b r m S C 8 4 g d 8 m y n K 9 O o 0 G L v F G p D P q 3 i f 4 t I 2 L / G S E E j v q S C T 5 u A z S b k F r + A m L J n + m P C e q j d 0 B m J d b j J g M 0 S 2 P u D f A B Q S w M E F A A C A A g A 7 Z M e 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2 T H l U o i k e 4 D g A A A B E A A A A T A B w A R m 9 y b X V s Y X M v U 2 V j d G l v b j E u b S C i G A A o o B Q A A A A A A A A A A A A A A A A A A A A A A A A A A A A r T k 0 u y c z P U w i G 0 I b W A F B L A Q I t A B Q A A g A I A O 2 T H l U R W O S c p A A A A P Y A A A A S A A A A A A A A A A A A A A A A A A A A A A B D b 2 5 m a W c v U G F j a 2 F n Z S 5 4 b W x Q S w E C L Q A U A A I A C A D t k x 5 V D 8 r p q 6 Q A A A D p A A A A E w A A A A A A A A A A A A A A A A D w A A A A W 0 N v b n R l b n R f V H l w Z X N d L n h t b F B L A Q I t A B Q A A g A I A O 2 T H 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5 y v a e p Y W U T q C + J l w T d z 6 c A A A A A A I A A A A A A B B m A A A A A Q A A I A A A A K 1 J G 4 4 F v X X F n x G c f 5 A e k S G M R 0 Q 7 x W x c 9 P z K j v i s k F 2 l A A A A A A 6 A A A A A A g A A I A A A A K m D g x P z n p J X E G 1 W O P A r Y S I P q 1 t I L h B v A i f 9 J I + 1 P f Y p U A A A A H v 5 1 u N Q 1 n 4 E E 8 9 0 W T V o V V 5 c t P C a H E U J L S J H 2 2 I R b Z U p R g 8 1 L 0 1 1 g L o K a C k 4 b c / t S B c F S B m N E 7 0 a r g R o E + Q B R D 1 n l g a i X C M Q 3 M h r k Z s 0 x V 6 B Q A A A A C U Q 5 k E m 5 l g u b U H N L s G L l y M k H d 5 R g G + l m G y e 8 7 k 6 F 8 G H 8 A X 4 x 1 v f 1 V p L c + A L l M + n m i + T u V u m D O s L r U r U 2 G u V Y G s = < / D a t a M a s h u p > 
</file>

<file path=customXml/itemProps1.xml><?xml version="1.0" encoding="utf-8"?>
<ds:datastoreItem xmlns:ds="http://schemas.openxmlformats.org/officeDocument/2006/customXml" ds:itemID="{A6BAB119-7296-4ABD-A253-6381300DDAB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22</vt:i4>
      </vt:variant>
    </vt:vector>
  </HeadingPairs>
  <TitlesOfParts>
    <vt:vector size="28" baseType="lpstr">
      <vt:lpstr>Table2</vt:lpstr>
      <vt:lpstr>Titel met versiebeheer</vt:lpstr>
      <vt:lpstr>Handleiding</vt:lpstr>
      <vt:lpstr>Rekentool</vt:lpstr>
      <vt:lpstr>Glas</vt:lpstr>
      <vt:lpstr>Data</vt:lpstr>
      <vt:lpstr>a</vt:lpstr>
      <vt:lpstr>b</vt:lpstr>
      <vt:lpstr>Rekentool!GrdDg</vt:lpstr>
      <vt:lpstr>'Titel met versiebeheer'!Opp</vt:lpstr>
      <vt:lpstr>Opp</vt:lpstr>
      <vt:lpstr>'Titel met versiebeheer'!Pgas</vt:lpstr>
      <vt:lpstr>Pgas</vt:lpstr>
      <vt:lpstr>'Titel met versiebeheer'!R_binnen</vt:lpstr>
      <vt:lpstr>R_binnen</vt:lpstr>
      <vt:lpstr>'Titel met versiebeheer'!R_buiten</vt:lpstr>
      <vt:lpstr>R_buiten</vt:lpstr>
      <vt:lpstr>Rekentool!Rc_best</vt:lpstr>
      <vt:lpstr>Rekentool!RC_voorg</vt:lpstr>
      <vt:lpstr>'Titel met versiebeheer'!T0</vt:lpstr>
      <vt:lpstr>T0</vt:lpstr>
      <vt:lpstr>'Titel met versiebeheer'!Tbcor</vt:lpstr>
      <vt:lpstr>Tbcor</vt:lpstr>
      <vt:lpstr>'Titel met versiebeheer'!Tbin</vt:lpstr>
      <vt:lpstr>Tbin</vt:lpstr>
      <vt:lpstr>'Titel met versiebeheer'!Tc</vt:lpstr>
      <vt:lpstr>Tc</vt:lpstr>
      <vt:lpstr>Y0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 Admin</dc:creator>
  <cp:lastModifiedBy>huubp</cp:lastModifiedBy>
  <cp:lastPrinted>2023-02-08T10:00:14Z</cp:lastPrinted>
  <dcterms:created xsi:type="dcterms:W3CDTF">2022-06-23T09:25:44Z</dcterms:created>
  <dcterms:modified xsi:type="dcterms:W3CDTF">2023-02-28T20:36:58Z</dcterms:modified>
</cp:coreProperties>
</file>